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285" windowWidth="19320" windowHeight="3630"/>
  </bookViews>
  <sheets>
    <sheet name="zał 1" sheetId="1" r:id="rId1"/>
    <sheet name="Przedsięwzięcia" sheetId="4" r:id="rId2"/>
  </sheets>
  <externalReferences>
    <externalReference r:id="rId3"/>
    <externalReference r:id="rId4"/>
  </externalReferences>
  <definedNames>
    <definedName name="_xlnm.Print_Area" localSheetId="1">Przedsięwzięcia!$A$1:$O$63</definedName>
    <definedName name="_xlnm.Print_Area" localSheetId="0">'zał 1'!$A$1:$S$63</definedName>
  </definedNames>
  <calcPr calcId="125725"/>
</workbook>
</file>

<file path=xl/calcChain.xml><?xml version="1.0" encoding="utf-8"?>
<calcChain xmlns="http://schemas.openxmlformats.org/spreadsheetml/2006/main">
  <c r="L57" i="1"/>
  <c r="M57"/>
  <c r="I57"/>
  <c r="J57"/>
  <c r="K57"/>
  <c r="F57"/>
  <c r="G57"/>
  <c r="H57"/>
  <c r="F56"/>
  <c r="G56"/>
  <c r="H56"/>
  <c r="I56"/>
  <c r="J56"/>
  <c r="E57"/>
  <c r="E56"/>
  <c r="F19"/>
  <c r="G19"/>
  <c r="H19"/>
  <c r="I19"/>
  <c r="J19"/>
  <c r="E19"/>
  <c r="F25"/>
  <c r="G25"/>
  <c r="H25"/>
  <c r="I25"/>
  <c r="J25"/>
  <c r="K25"/>
  <c r="L25"/>
  <c r="E25"/>
  <c r="M25"/>
  <c r="N25"/>
  <c r="G48" i="4"/>
  <c r="S15" i="1"/>
  <c r="R15"/>
  <c r="Q15"/>
  <c r="P15"/>
  <c r="O15"/>
  <c r="N15"/>
  <c r="M15"/>
  <c r="L15"/>
  <c r="K15"/>
  <c r="J15"/>
  <c r="I15"/>
  <c r="H14"/>
  <c r="H15"/>
  <c r="G15"/>
  <c r="F15"/>
  <c r="E15"/>
  <c r="E6"/>
  <c r="E9"/>
  <c r="L23" l="1"/>
  <c r="E39"/>
  <c r="E35"/>
  <c r="E23"/>
  <c r="M9" l="1"/>
  <c r="N9" s="1"/>
  <c r="O9" s="1"/>
  <c r="P9" s="1"/>
  <c r="Q9" s="1"/>
  <c r="R9" s="1"/>
  <c r="S9" s="1"/>
  <c r="L9"/>
  <c r="S35"/>
  <c r="O35"/>
  <c r="P35"/>
  <c r="Q35"/>
  <c r="R35"/>
  <c r="L35"/>
  <c r="M35"/>
  <c r="N35"/>
  <c r="O22" l="1"/>
  <c r="P22"/>
  <c r="Q22"/>
  <c r="R22"/>
  <c r="J22"/>
  <c r="K22"/>
  <c r="L22"/>
  <c r="M22"/>
  <c r="N22"/>
  <c r="S57" l="1"/>
  <c r="S56"/>
  <c r="S46"/>
  <c r="S28"/>
  <c r="S25"/>
  <c r="S19"/>
  <c r="R57"/>
  <c r="R56"/>
  <c r="R46"/>
  <c r="R28"/>
  <c r="R25"/>
  <c r="R19"/>
  <c r="Q57"/>
  <c r="Q56"/>
  <c r="Q46"/>
  <c r="Q28"/>
  <c r="Q25"/>
  <c r="Q19"/>
  <c r="P57"/>
  <c r="P56"/>
  <c r="P46"/>
  <c r="P28"/>
  <c r="P25"/>
  <c r="P19"/>
  <c r="O57"/>
  <c r="O56"/>
  <c r="O46"/>
  <c r="O28"/>
  <c r="O25"/>
  <c r="O19"/>
  <c r="N57"/>
  <c r="N56"/>
  <c r="N46"/>
  <c r="N28"/>
  <c r="N19"/>
  <c r="M56"/>
  <c r="M46"/>
  <c r="M28"/>
  <c r="M19"/>
  <c r="K56" l="1"/>
  <c r="L56"/>
  <c r="G15" i="4"/>
  <c r="H15"/>
  <c r="I15"/>
  <c r="J15"/>
  <c r="K15"/>
  <c r="L15"/>
  <c r="M15"/>
  <c r="N15"/>
  <c r="G14"/>
  <c r="H14"/>
  <c r="I14"/>
  <c r="J14"/>
  <c r="K14"/>
  <c r="L14"/>
  <c r="M14"/>
  <c r="N14"/>
  <c r="F15"/>
  <c r="F14"/>
  <c r="O34"/>
  <c r="F34"/>
  <c r="F36"/>
  <c r="F35"/>
  <c r="H35"/>
  <c r="I35"/>
  <c r="G35"/>
  <c r="K38"/>
  <c r="K37" s="1"/>
  <c r="L38"/>
  <c r="L37" s="1"/>
  <c r="M38"/>
  <c r="M37" s="1"/>
  <c r="N38"/>
  <c r="N37" s="1"/>
  <c r="K39"/>
  <c r="L39"/>
  <c r="M39"/>
  <c r="N39"/>
  <c r="N31"/>
  <c r="M31"/>
  <c r="L31"/>
  <c r="K31"/>
  <c r="N25"/>
  <c r="M25"/>
  <c r="L25"/>
  <c r="K25"/>
  <c r="N22"/>
  <c r="M22"/>
  <c r="L22"/>
  <c r="K22"/>
  <c r="N19"/>
  <c r="M19"/>
  <c r="L19"/>
  <c r="K19"/>
  <c r="N16"/>
  <c r="M16"/>
  <c r="L16"/>
  <c r="K16"/>
  <c r="K12"/>
  <c r="L12"/>
  <c r="M12"/>
  <c r="N12"/>
  <c r="K11"/>
  <c r="L11"/>
  <c r="M11"/>
  <c r="N11"/>
  <c r="K10"/>
  <c r="L10"/>
  <c r="M10"/>
  <c r="N10"/>
  <c r="K9"/>
  <c r="L9"/>
  <c r="M9"/>
  <c r="N9"/>
  <c r="K8"/>
  <c r="L8"/>
  <c r="M8"/>
  <c r="N8"/>
  <c r="K7"/>
  <c r="L7"/>
  <c r="M7"/>
  <c r="N7"/>
  <c r="K46"/>
  <c r="L46"/>
  <c r="M46"/>
  <c r="N46"/>
  <c r="E47" i="1"/>
  <c r="O43" i="4" l="1"/>
  <c r="O40"/>
  <c r="O61"/>
  <c r="O58"/>
  <c r="O55"/>
  <c r="O52"/>
  <c r="O49" s="1"/>
  <c r="F9" i="1" l="1"/>
  <c r="G38" i="4" l="1"/>
  <c r="H38"/>
  <c r="I38"/>
  <c r="J38"/>
  <c r="F38"/>
  <c r="G39"/>
  <c r="H39"/>
  <c r="I39"/>
  <c r="J39"/>
  <c r="F45"/>
  <c r="G61"/>
  <c r="H61"/>
  <c r="I61"/>
  <c r="G58"/>
  <c r="H58"/>
  <c r="G55"/>
  <c r="H55"/>
  <c r="I55"/>
  <c r="G52"/>
  <c r="H52"/>
  <c r="G46"/>
  <c r="G43"/>
  <c r="G51"/>
  <c r="H51"/>
  <c r="I51"/>
  <c r="G50"/>
  <c r="H50"/>
  <c r="H49" s="1"/>
  <c r="I50"/>
  <c r="F50"/>
  <c r="F51"/>
  <c r="F61"/>
  <c r="F58"/>
  <c r="F55"/>
  <c r="M5" i="1" l="1"/>
  <c r="J37" i="4"/>
  <c r="H37"/>
  <c r="I49"/>
  <c r="G49"/>
  <c r="I37"/>
  <c r="G37"/>
  <c r="F49"/>
  <c r="F43"/>
  <c r="F52"/>
  <c r="J46"/>
  <c r="I46"/>
  <c r="O46" s="1"/>
  <c r="O37" s="1"/>
  <c r="H46"/>
  <c r="F46"/>
  <c r="G40"/>
  <c r="F42"/>
  <c r="N5" i="1" l="1"/>
  <c r="M50"/>
  <c r="M48"/>
  <c r="M45"/>
  <c r="M44"/>
  <c r="F40" i="4"/>
  <c r="F39"/>
  <c r="F37" s="1"/>
  <c r="F28" i="1"/>
  <c r="G28"/>
  <c r="H28"/>
  <c r="I28"/>
  <c r="J28"/>
  <c r="K28"/>
  <c r="L28"/>
  <c r="E28"/>
  <c r="E55"/>
  <c r="F55" s="1"/>
  <c r="G55" s="1"/>
  <c r="H55" s="1"/>
  <c r="I55" s="1"/>
  <c r="J55" s="1"/>
  <c r="K55" s="1"/>
  <c r="L55" s="1"/>
  <c r="M55" s="1"/>
  <c r="N55" s="1"/>
  <c r="O55" s="1"/>
  <c r="P55" s="1"/>
  <c r="Q55" s="1"/>
  <c r="R55" s="1"/>
  <c r="S55" s="1"/>
  <c r="E11"/>
  <c r="E54"/>
  <c r="F54" s="1"/>
  <c r="G54" s="1"/>
  <c r="H54" s="1"/>
  <c r="I54" s="1"/>
  <c r="J54" s="1"/>
  <c r="K54" s="1"/>
  <c r="L54" s="1"/>
  <c r="M54" s="1"/>
  <c r="N54" s="1"/>
  <c r="O54" s="1"/>
  <c r="P54" s="1"/>
  <c r="Q54" s="1"/>
  <c r="R54" s="1"/>
  <c r="S54" s="1"/>
  <c r="N48" l="1"/>
  <c r="N50"/>
  <c r="N45"/>
  <c r="N44"/>
  <c r="O5"/>
  <c r="E8"/>
  <c r="F39"/>
  <c r="G39" s="1"/>
  <c r="H39" s="1"/>
  <c r="I39" s="1"/>
  <c r="J39" s="1"/>
  <c r="K39" s="1"/>
  <c r="L39" s="1"/>
  <c r="M39" s="1"/>
  <c r="F35"/>
  <c r="G35"/>
  <c r="H35"/>
  <c r="I35"/>
  <c r="J35"/>
  <c r="K35"/>
  <c r="M42" l="1"/>
  <c r="N39"/>
  <c r="M43"/>
  <c r="O45"/>
  <c r="O44"/>
  <c r="O50"/>
  <c r="O48"/>
  <c r="P5"/>
  <c r="I46"/>
  <c r="J46"/>
  <c r="K46"/>
  <c r="L46"/>
  <c r="F46"/>
  <c r="G46"/>
  <c r="H46"/>
  <c r="O39" l="1"/>
  <c r="N42"/>
  <c r="N43"/>
  <c r="P48"/>
  <c r="P44"/>
  <c r="P50"/>
  <c r="P45"/>
  <c r="Q5"/>
  <c r="E5"/>
  <c r="R5" l="1"/>
  <c r="P39"/>
  <c r="O43"/>
  <c r="O42"/>
  <c r="Q48"/>
  <c r="Q44"/>
  <c r="Q50"/>
  <c r="Q45"/>
  <c r="G14"/>
  <c r="F14"/>
  <c r="K19"/>
  <c r="L19"/>
  <c r="G5"/>
  <c r="G48" s="1"/>
  <c r="H5"/>
  <c r="H48" s="1"/>
  <c r="I5"/>
  <c r="I48" s="1"/>
  <c r="J5"/>
  <c r="J48" s="1"/>
  <c r="K5"/>
  <c r="K48" s="1"/>
  <c r="L5"/>
  <c r="L48" s="1"/>
  <c r="F5"/>
  <c r="F48" s="1"/>
  <c r="H32" i="4"/>
  <c r="G31"/>
  <c r="F31"/>
  <c r="G25"/>
  <c r="J25"/>
  <c r="F26"/>
  <c r="I31"/>
  <c r="I29"/>
  <c r="I28" s="1"/>
  <c r="H29"/>
  <c r="H28" s="1"/>
  <c r="G28"/>
  <c r="G29" s="1"/>
  <c r="F33"/>
  <c r="F12" s="1"/>
  <c r="F9" s="1"/>
  <c r="I25"/>
  <c r="H25"/>
  <c r="O25" s="1"/>
  <c r="F25"/>
  <c r="G22"/>
  <c r="O22" s="1"/>
  <c r="H22"/>
  <c r="I22"/>
  <c r="J22"/>
  <c r="F22"/>
  <c r="H19"/>
  <c r="J31"/>
  <c r="G19"/>
  <c r="O19" s="1"/>
  <c r="I19"/>
  <c r="J19"/>
  <c r="F19"/>
  <c r="G16"/>
  <c r="O16" s="1"/>
  <c r="H16"/>
  <c r="I16"/>
  <c r="J16"/>
  <c r="R48" i="1" l="1"/>
  <c r="R44"/>
  <c r="R50"/>
  <c r="R45"/>
  <c r="Q39"/>
  <c r="P43"/>
  <c r="P42"/>
  <c r="S5"/>
  <c r="J12" i="4"/>
  <c r="J9" s="1"/>
  <c r="H12"/>
  <c r="H9" s="1"/>
  <c r="G11"/>
  <c r="G13"/>
  <c r="G8" i="1"/>
  <c r="O28" i="4"/>
  <c r="J13"/>
  <c r="J11"/>
  <c r="I12"/>
  <c r="I9" s="1"/>
  <c r="G12"/>
  <c r="G9" s="1"/>
  <c r="H31"/>
  <c r="F8" i="1" s="1"/>
  <c r="O31" i="4"/>
  <c r="F27" i="1"/>
  <c r="F13"/>
  <c r="G13"/>
  <c r="G26" s="1"/>
  <c r="G27"/>
  <c r="L45"/>
  <c r="L50"/>
  <c r="L42"/>
  <c r="L43"/>
  <c r="L44"/>
  <c r="J45"/>
  <c r="J50"/>
  <c r="J42"/>
  <c r="J43"/>
  <c r="J44"/>
  <c r="H45"/>
  <c r="H50"/>
  <c r="H42"/>
  <c r="H43"/>
  <c r="H44"/>
  <c r="K45"/>
  <c r="K50"/>
  <c r="K43"/>
  <c r="K42"/>
  <c r="K44"/>
  <c r="I45"/>
  <c r="I50"/>
  <c r="I43"/>
  <c r="I42"/>
  <c r="I44"/>
  <c r="G45"/>
  <c r="G50"/>
  <c r="G43"/>
  <c r="G42"/>
  <c r="G52"/>
  <c r="G44"/>
  <c r="F26"/>
  <c r="F45"/>
  <c r="F50"/>
  <c r="F42"/>
  <c r="F52"/>
  <c r="F43"/>
  <c r="F44"/>
  <c r="E43"/>
  <c r="E42"/>
  <c r="R39" l="1"/>
  <c r="Q43"/>
  <c r="Q42"/>
  <c r="S48"/>
  <c r="S50"/>
  <c r="S45"/>
  <c r="S44"/>
  <c r="O13" i="4"/>
  <c r="O10" s="1"/>
  <c r="O7" s="1"/>
  <c r="H13"/>
  <c r="H11"/>
  <c r="J8"/>
  <c r="J10"/>
  <c r="F13"/>
  <c r="F11"/>
  <c r="I11"/>
  <c r="I13"/>
  <c r="G8"/>
  <c r="G10"/>
  <c r="S39" i="1" l="1"/>
  <c r="R43"/>
  <c r="R42"/>
  <c r="I8" i="4"/>
  <c r="I10"/>
  <c r="J7"/>
  <c r="G7"/>
  <c r="F8"/>
  <c r="F7" s="1"/>
  <c r="F10"/>
  <c r="H8"/>
  <c r="H10"/>
  <c r="S42" i="1" l="1"/>
  <c r="S43"/>
  <c r="H7" i="4"/>
  <c r="I7"/>
  <c r="E46" i="1"/>
  <c r="E44" s="1"/>
  <c r="E50"/>
  <c r="E20"/>
  <c r="E45" l="1"/>
  <c r="E48"/>
  <c r="E49" l="1"/>
  <c r="E51"/>
  <c r="E14" l="1"/>
  <c r="E13" s="1"/>
  <c r="E26" s="1"/>
  <c r="E52" l="1"/>
  <c r="E27"/>
  <c r="G47" l="1"/>
  <c r="H47"/>
  <c r="F47"/>
  <c r="H49" l="1"/>
  <c r="H51"/>
  <c r="F51"/>
  <c r="F49"/>
  <c r="G49"/>
  <c r="G51"/>
  <c r="H27"/>
  <c r="I14"/>
  <c r="J14"/>
  <c r="I27" l="1"/>
  <c r="I13"/>
  <c r="I26" s="1"/>
  <c r="I52"/>
  <c r="J13"/>
  <c r="J26" s="1"/>
  <c r="J27"/>
  <c r="J52"/>
  <c r="K47" s="1"/>
  <c r="H52"/>
  <c r="I47" s="1"/>
  <c r="H13"/>
  <c r="H26" s="1"/>
  <c r="K51" l="1"/>
  <c r="K49"/>
  <c r="K14"/>
  <c r="I51"/>
  <c r="I49"/>
  <c r="J47"/>
  <c r="K27" l="1"/>
  <c r="K52"/>
  <c r="L47" s="1"/>
  <c r="K13"/>
  <c r="K26" s="1"/>
  <c r="J51"/>
  <c r="J49"/>
  <c r="L14"/>
  <c r="L49" l="1"/>
  <c r="L51"/>
  <c r="L27"/>
  <c r="L13"/>
  <c r="L26" s="1"/>
  <c r="L52"/>
  <c r="M47" s="1"/>
  <c r="M14"/>
  <c r="M13" l="1"/>
  <c r="M26" s="1"/>
  <c r="M27"/>
  <c r="M52"/>
  <c r="N47" s="1"/>
  <c r="N14"/>
  <c r="M51"/>
  <c r="M49"/>
  <c r="N27" l="1"/>
  <c r="N13"/>
  <c r="N26" s="1"/>
  <c r="N52"/>
  <c r="O47" s="1"/>
  <c r="O14"/>
  <c r="N51"/>
  <c r="N49"/>
  <c r="O27" l="1"/>
  <c r="O13"/>
  <c r="O26" s="1"/>
  <c r="O52"/>
  <c r="P47" s="1"/>
  <c r="P14"/>
  <c r="O49"/>
  <c r="O51"/>
  <c r="P27" l="1"/>
  <c r="P13"/>
  <c r="P26" s="1"/>
  <c r="P52"/>
  <c r="Q47" s="1"/>
  <c r="Q14"/>
  <c r="P49"/>
  <c r="P51"/>
  <c r="Q27" l="1"/>
  <c r="Q13"/>
  <c r="Q26" s="1"/>
  <c r="Q52"/>
  <c r="R47" s="1"/>
  <c r="S14"/>
  <c r="R14"/>
  <c r="Q51"/>
  <c r="Q49"/>
  <c r="S52" l="1"/>
  <c r="S13"/>
  <c r="S26" s="1"/>
  <c r="S27"/>
  <c r="R13"/>
  <c r="R26" s="1"/>
  <c r="R27"/>
  <c r="R52"/>
  <c r="S47" s="1"/>
  <c r="R51"/>
  <c r="R49"/>
  <c r="S49" l="1"/>
  <c r="S51"/>
</calcChain>
</file>

<file path=xl/sharedStrings.xml><?xml version="1.0" encoding="utf-8"?>
<sst xmlns="http://schemas.openxmlformats.org/spreadsheetml/2006/main" count="178" uniqueCount="125">
  <si>
    <t>Przychody budżetu</t>
  </si>
  <si>
    <t>10.</t>
  </si>
  <si>
    <t>11.</t>
  </si>
  <si>
    <t>12.</t>
  </si>
  <si>
    <t>13.</t>
  </si>
  <si>
    <t>16.</t>
  </si>
  <si>
    <t>6.</t>
  </si>
  <si>
    <t>1.</t>
  </si>
  <si>
    <t>2.</t>
  </si>
  <si>
    <t>3.</t>
  </si>
  <si>
    <t>4.</t>
  </si>
  <si>
    <t>7.</t>
  </si>
  <si>
    <t>8.</t>
  </si>
  <si>
    <t>9.</t>
  </si>
  <si>
    <t>Wyszczególnienie</t>
  </si>
  <si>
    <t>Lp.</t>
  </si>
  <si>
    <r>
      <t xml:space="preserve">_________________________________________
        </t>
    </r>
    <r>
      <rPr>
        <i/>
        <sz val="8"/>
        <rFont val="Arial CE"/>
        <family val="2"/>
        <charset val="238"/>
      </rPr>
      <t>(pieczęć  j.s.t.)</t>
    </r>
  </si>
  <si>
    <t>Dochody bieżące</t>
  </si>
  <si>
    <t xml:space="preserve">Dochody majątkowe </t>
  </si>
  <si>
    <t>Wydatki ogółem</t>
  </si>
  <si>
    <t>Wydatki bieżące</t>
  </si>
  <si>
    <t>wydatki bieżące bez wydatków na obsługę długu</t>
  </si>
  <si>
    <t>Wydatki majątkowe</t>
  </si>
  <si>
    <t>Dochody bieżące - wydatki bieżące</t>
  </si>
  <si>
    <t>Nadwyżka budżetowa z lat ubiegłych plus wolne środki, o których mowa w art. 217 ust.1 pkt 6 ufp, angażowane w budżecie roku bieżącego</t>
  </si>
  <si>
    <t>w tym: na pokrycie deficytu budżetu</t>
  </si>
  <si>
    <t>Kredyty, pożyczki, sprzedaż papierów wartościowych</t>
  </si>
  <si>
    <t xml:space="preserve">w tym: na pokrycie deficytu budżetu </t>
  </si>
  <si>
    <t>Inne przychody niezwiązane z zaciągnięciem długu</t>
  </si>
  <si>
    <t xml:space="preserve">Rozchody budżetu </t>
  </si>
  <si>
    <t>Spłaty rat kapitałowych oraz wykup papierów wartościowych</t>
  </si>
  <si>
    <t>w tym: kwota wyłączeń z art. 243 ust. 3 pkt 1ufp oraz art. 169 ust. 3 sufp przypadająca na dany rok</t>
  </si>
  <si>
    <t>Inne rozchody (bez spłaty długu, np. udzielane pożyczki)</t>
  </si>
  <si>
    <t>Kwota długu</t>
  </si>
  <si>
    <t>w tym: dług spłacany wydatkami (zobowiązania wymagalne, umowy zaliczane do kategorii kredytów i pożyczek, itp.)</t>
  </si>
  <si>
    <t>Łączna kwota wyłączeń z art. 170 ust. 3 sufp</t>
  </si>
  <si>
    <t>Zadłużenie/dochody ogółem - max 60% z art. 170 sufp (bez wyłączeń)</t>
  </si>
  <si>
    <t>9a.</t>
  </si>
  <si>
    <t>Zadłużenie/dochody ogółem - max 60% z art. 170 sufp (po uwzględnieniu wyłączeń)</t>
  </si>
  <si>
    <t>Planowana łączna kwota spłaty zobowiązań/dochody ogółem - max 15% z art. 169 sufp (bez wyłączeń)</t>
  </si>
  <si>
    <t>10a.</t>
  </si>
  <si>
    <t>Planowana łączna kwota spłaty zobowiązań/dochody ogółem - max 15% z art. 169 sufp (po uwzględnieniu wyłączeń)</t>
  </si>
  <si>
    <t xml:space="preserve">Kwota zobowiązań przypadających do spłaty w danym roku budżetowym, 
podlegająca doliczeniu zgodnie z art. 244 ufp (zobowiązania związku współtworzonego przez JST) </t>
  </si>
  <si>
    <t>Maksymalny dopuszczalny wskaźnik spłaty z art. 243 ufp</t>
  </si>
  <si>
    <t>Relacja planowanej łącznej kwoty spłaty zobowiązań do dochodów  (bez wyłączeń)</t>
  </si>
  <si>
    <t>13a.</t>
  </si>
  <si>
    <t>Spełnienie wskaźnika spłaty z art. 243 ufp po uwzględnieniu art. 244 ufp (bez wyłączeń)</t>
  </si>
  <si>
    <t>14.</t>
  </si>
  <si>
    <t>Relacja planowanej łącznej kwoty spłaty zobowiązań do dochodów (po uwzględnieniu wyłączeń)</t>
  </si>
  <si>
    <t>14a.</t>
  </si>
  <si>
    <t>Spełnienie wskaźnika spłaty z art. 243 ufp po uwzględnieniu art. 244 ufp (po uwzględnieniu wyłączeń)</t>
  </si>
  <si>
    <t>15.</t>
  </si>
  <si>
    <t>Informacja z art. 226 ust. 2, tj. wydatki:</t>
  </si>
  <si>
    <t>na wynagrodzenia i składki od nich naliczane</t>
  </si>
  <si>
    <t>związane z funkcjonowaniem organów JST</t>
  </si>
  <si>
    <t>bieżące objęte limitem art. 226 ust. 4 ufp</t>
  </si>
  <si>
    <t>majątkowe objęte limitem art. 226 ust. 4 ufp</t>
  </si>
  <si>
    <t>Przeznaczenie nadwyżki wykonanej w poszczególnych latach objętych prognozą:</t>
  </si>
  <si>
    <t>Dochody ogółem</t>
  </si>
  <si>
    <t xml:space="preserve">w tym: </t>
  </si>
  <si>
    <t>środki z UE*</t>
  </si>
  <si>
    <t>ze sprzedaży majątku</t>
  </si>
  <si>
    <t xml:space="preserve">  w tym: </t>
  </si>
  <si>
    <t xml:space="preserve">z tytułu poręczeń i gwarancji </t>
  </si>
  <si>
    <t>w tym: gwarancje i poręczenia podlegające wyłączeniu z limitów spłaty zobowiązań z art. 243 ufp/169 sufp</t>
  </si>
  <si>
    <t>na projekty realizowane przy udziale środków, o których mowa w art. 5 ust. 1 pkt 2</t>
  </si>
  <si>
    <t>wydatki na obsługę długu</t>
  </si>
  <si>
    <t>w tym:</t>
  </si>
  <si>
    <t xml:space="preserve">odsetki i dyskonto </t>
  </si>
  <si>
    <t>Wartość przejętych zobowiązań</t>
  </si>
  <si>
    <t>w tym od spzoz</t>
  </si>
  <si>
    <t>* środki, o których mowa w art. 5 ust. 1 pkt 2 ustawy o finansach publicznych z 2009 r.</t>
  </si>
  <si>
    <t>w złotych</t>
  </si>
  <si>
    <t>Nazwa i cel przedsięwzięcia</t>
  </si>
  <si>
    <t>Jednostka organizacyjna odpowiedzialna za realizację lub koordynująca wykonywanie przedsięwzięcia</t>
  </si>
  <si>
    <t>Okres realizacji</t>
  </si>
  <si>
    <t>Łączne nakłady finansowe
(w zł)</t>
  </si>
  <si>
    <r>
      <t>Limit
zobowiązań</t>
    </r>
    <r>
      <rPr>
        <b/>
        <vertAlign val="superscript"/>
        <sz val="10"/>
        <rFont val="Arial CE"/>
        <charset val="238"/>
      </rPr>
      <t>1)</t>
    </r>
    <r>
      <rPr>
        <b/>
        <sz val="10"/>
        <rFont val="Arial CE"/>
        <family val="2"/>
        <charset val="238"/>
      </rPr>
      <t xml:space="preserve">
(w zł)</t>
    </r>
  </si>
  <si>
    <t>od</t>
  </si>
  <si>
    <t>do</t>
  </si>
  <si>
    <t>2013 r.</t>
  </si>
  <si>
    <t>2014 r.</t>
  </si>
  <si>
    <t>2015 r.</t>
  </si>
  <si>
    <t xml:space="preserve"> - wydatki bieżące</t>
  </si>
  <si>
    <t xml:space="preserve"> - wydatki majątkowe</t>
  </si>
  <si>
    <t>Programy, projekty lub zadania (razem)</t>
  </si>
  <si>
    <t xml:space="preserve">a) </t>
  </si>
  <si>
    <t>programy, projekty lub zadania związane z programami realizowanymi z udziałem środków, o których mowa w art. 5 ust. 1 pkt 2 i 3 (razem)</t>
  </si>
  <si>
    <r>
      <t xml:space="preserve">Umowy, których realizacja w roku budżetowym i w latach następnych jest
niezbędna dla zapewnienia ciągłości działania jednostki i których płatności
przypadają w okresie dłuższym niż rok; </t>
    </r>
    <r>
      <rPr>
        <b/>
        <vertAlign val="superscript"/>
        <sz val="10"/>
        <rFont val="Arial CE"/>
        <charset val="238"/>
      </rPr>
      <t>2)</t>
    </r>
  </si>
  <si>
    <t>PCPR w Goleniowie</t>
  </si>
  <si>
    <t>Program POKL
Rozwój i upowszechnianie aktywnej intergracji społecznej w Powiecie Goleniowskim</t>
  </si>
  <si>
    <t>Program POKL Piramida kompetencji</t>
  </si>
  <si>
    <t>PUP w Goleniowie</t>
  </si>
  <si>
    <t>POKL Rozwój pracowników i przedsiębiorstw w regionie - Postaw na siebie</t>
  </si>
  <si>
    <t>Program Uczenie się przez całe życie - Leonardo da Vinci.</t>
  </si>
  <si>
    <t>ZSZ w Goleniowie</t>
  </si>
  <si>
    <t>Program Uczenie się przez całe życie - Leonardo da Vinci I</t>
  </si>
  <si>
    <t>Program POKL  Praktyka najlepszym nauczycielem</t>
  </si>
  <si>
    <t>Starostwo Powiatowe w Goleniowie</t>
  </si>
  <si>
    <t>Wieloletnie zadania inwestycyjne (razem)</t>
  </si>
  <si>
    <t>Planowane i realizowane przedsięwzięcia  
Powiatu Goleniowskiego
w latach 2013-2020</t>
  </si>
  <si>
    <t>Relacja (Db-Wb+Dsm)/Do o której mowa w art..243 w danym roku</t>
  </si>
  <si>
    <t>17.</t>
  </si>
  <si>
    <t>Modernizacja i Rozbudowa strażnicy w Goleniowie</t>
  </si>
  <si>
    <t>KP PSP w Goleniowie</t>
  </si>
  <si>
    <t>Termomodernizacja i remont generalny budynków ZSP w Goleniowie II Etap</t>
  </si>
  <si>
    <t>Modernizacja dróg powiatowych</t>
  </si>
  <si>
    <t>2016 r.</t>
  </si>
  <si>
    <t>Wykonanie remontów cząstkowych dróg</t>
  </si>
  <si>
    <t>Umowa leasingu operacyjnego</t>
  </si>
  <si>
    <t>DPS w Nowogardzie</t>
  </si>
  <si>
    <t>Zimowe utrzymanie dróg</t>
  </si>
  <si>
    <t xml:space="preserve">Wykonanie dostawa i złomowanie tablic rejastracyjnych </t>
  </si>
  <si>
    <t xml:space="preserve">b) </t>
  </si>
  <si>
    <t>Przedsięwzięcia ogółem: (2+3)</t>
  </si>
  <si>
    <t>2017 r.</t>
  </si>
  <si>
    <t>2018 r.</t>
  </si>
  <si>
    <t>2019 r.</t>
  </si>
  <si>
    <t>2020 r.</t>
  </si>
  <si>
    <t>PROGRAM OPERACYJNY INNOWACYJNA GOSPODARKA 2007-2013:
„ e – Inclusion Powiatu Goleniowskiego ”</t>
  </si>
  <si>
    <t>Wynik budżetu ( DO+P)-(WO+R)</t>
  </si>
  <si>
    <t>Wieloletnia prognoza finansowa Powiatu Goleniowskiego na lata 2013 - 2027</t>
  </si>
  <si>
    <t xml:space="preserve"> </t>
  </si>
  <si>
    <t>Załącznik Nr 3
do uchwały nr XXI/197/13
Rady Powiatu w Goleniowie
z dnia 21 lutego 2013 r.</t>
  </si>
  <si>
    <t>Załącznik Nr 1
do uchwały nr XXI/197/13
Rady Powiatu Goleniowie 
z dnia 21 lutego 2013 r.</t>
  </si>
</sst>
</file>

<file path=xl/styles.xml><?xml version="1.0" encoding="utf-8"?>
<styleSheet xmlns="http://schemas.openxmlformats.org/spreadsheetml/2006/main">
  <numFmts count="3">
    <numFmt numFmtId="43" formatCode="_-* #,##0.00\ _z_ł_-;\-* #,##0.00\ _z_ł_-;_-* &quot;-&quot;??\ _z_ł_-;_-@_-"/>
    <numFmt numFmtId="164" formatCode="#,##0.00_ ;[Red]\-#,##0.00\ "/>
    <numFmt numFmtId="165" formatCode="#,##0_ ;[Red]\-#,##0\ "/>
  </numFmts>
  <fonts count="25">
    <font>
      <sz val="11"/>
      <color theme="1"/>
      <name val="Czcionka tekstu podstawowego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  <font>
      <b/>
      <sz val="8"/>
      <name val="Times New Roman"/>
      <family val="1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i/>
      <u/>
      <sz val="8"/>
      <name val="Arial CE"/>
      <charset val="238"/>
    </font>
    <font>
      <b/>
      <sz val="10"/>
      <name val="Arial CE"/>
      <family val="2"/>
      <charset val="238"/>
    </font>
    <font>
      <b/>
      <vertAlign val="superscript"/>
      <sz val="10"/>
      <name val="Arial CE"/>
      <charset val="238"/>
    </font>
    <font>
      <sz val="10"/>
      <name val="Arial CE"/>
      <family val="2"/>
      <charset val="238"/>
    </font>
    <font>
      <i/>
      <sz val="8"/>
      <name val="Arial CE"/>
      <charset val="238"/>
    </font>
    <font>
      <b/>
      <sz val="10"/>
      <name val="Arial CE"/>
      <charset val="238"/>
    </font>
    <font>
      <b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sz val="8"/>
      <color indexed="8"/>
      <name val="Czcionka tekstu podstawowego"/>
      <family val="2"/>
      <charset val="238"/>
    </font>
    <font>
      <sz val="8"/>
      <color indexed="12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66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0" fontId="3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3" fillId="0" borderId="0" applyProtection="0"/>
    <xf numFmtId="0" fontId="5" fillId="0" borderId="0"/>
    <xf numFmtId="9" fontId="5" fillId="0" borderId="0" applyFont="0" applyFill="0" applyBorder="0" applyAlignment="0" applyProtection="0"/>
    <xf numFmtId="0" fontId="3" fillId="0" borderId="0"/>
    <xf numFmtId="0" fontId="21" fillId="0" borderId="0"/>
    <xf numFmtId="43" fontId="21" fillId="0" borderId="0" applyFont="0" applyFill="0" applyBorder="0" applyAlignment="0" applyProtection="0"/>
  </cellStyleXfs>
  <cellXfs count="246">
    <xf numFmtId="0" fontId="0" fillId="0" borderId="0" xfId="0"/>
    <xf numFmtId="49" fontId="7" fillId="2" borderId="17" xfId="2" applyNumberFormat="1" applyFont="1" applyFill="1" applyBorder="1" applyAlignment="1">
      <alignment horizontal="center" vertical="center"/>
    </xf>
    <xf numFmtId="0" fontId="7" fillId="0" borderId="19" xfId="2" applyFont="1" applyFill="1" applyBorder="1" applyAlignment="1">
      <alignment horizontal="center" vertical="center"/>
    </xf>
    <xf numFmtId="0" fontId="8" fillId="0" borderId="21" xfId="2" applyFont="1" applyFill="1" applyBorder="1" applyAlignment="1">
      <alignment horizontal="center" vertical="center"/>
    </xf>
    <xf numFmtId="0" fontId="8" fillId="0" borderId="23" xfId="2" applyFont="1" applyFill="1" applyBorder="1" applyAlignment="1">
      <alignment horizontal="center" vertical="center"/>
    </xf>
    <xf numFmtId="0" fontId="7" fillId="0" borderId="21" xfId="2" applyFont="1" applyFill="1" applyBorder="1" applyAlignment="1">
      <alignment horizontal="center" vertical="center"/>
    </xf>
    <xf numFmtId="0" fontId="7" fillId="0" borderId="22" xfId="2" applyFont="1" applyFill="1" applyBorder="1" applyAlignment="1">
      <alignment horizontal="center" vertical="center"/>
    </xf>
    <xf numFmtId="0" fontId="7" fillId="0" borderId="24" xfId="2" applyFont="1" applyFill="1" applyBorder="1" applyAlignment="1">
      <alignment horizontal="center" vertical="center"/>
    </xf>
    <xf numFmtId="0" fontId="7" fillId="0" borderId="26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top"/>
    </xf>
    <xf numFmtId="0" fontId="11" fillId="0" borderId="19" xfId="2" applyFont="1" applyFill="1" applyBorder="1" applyAlignment="1">
      <alignment horizontal="center" vertical="center"/>
    </xf>
    <xf numFmtId="0" fontId="9" fillId="0" borderId="23" xfId="2" applyFont="1" applyFill="1" applyBorder="1" applyAlignment="1">
      <alignment horizontal="center" vertical="center"/>
    </xf>
    <xf numFmtId="0" fontId="9" fillId="0" borderId="0" xfId="2" quotePrefix="1" applyFont="1" applyBorder="1" applyAlignment="1">
      <alignment horizontal="right" vertical="center"/>
    </xf>
    <xf numFmtId="0" fontId="9" fillId="0" borderId="0" xfId="2" applyFont="1" applyBorder="1" applyAlignment="1">
      <alignment vertical="center" wrapText="1"/>
    </xf>
    <xf numFmtId="0" fontId="9" fillId="0" borderId="0" xfId="2" quotePrefix="1" applyFont="1" applyBorder="1" applyAlignment="1">
      <alignment horizontal="left" vertical="center" wrapText="1"/>
    </xf>
    <xf numFmtId="0" fontId="3" fillId="0" borderId="0" xfId="9" applyAlignment="1">
      <alignment vertical="center"/>
    </xf>
    <xf numFmtId="0" fontId="12" fillId="0" borderId="27" xfId="9" applyFont="1" applyBorder="1" applyAlignment="1">
      <alignment horizontal="center" vertical="center" wrapText="1"/>
    </xf>
    <xf numFmtId="0" fontId="13" fillId="0" borderId="0" xfId="9" applyFont="1" applyAlignment="1">
      <alignment horizontal="center" vertical="center" wrapText="1"/>
    </xf>
    <xf numFmtId="0" fontId="14" fillId="0" borderId="0" xfId="9" applyFont="1" applyAlignment="1">
      <alignment horizontal="right"/>
    </xf>
    <xf numFmtId="0" fontId="12" fillId="0" borderId="0" xfId="9" applyFont="1" applyBorder="1" applyAlignment="1">
      <alignment horizontal="center" vertical="center" wrapText="1"/>
    </xf>
    <xf numFmtId="0" fontId="17" fillId="0" borderId="0" xfId="9" applyFont="1" applyAlignment="1">
      <alignment vertical="center"/>
    </xf>
    <xf numFmtId="0" fontId="15" fillId="2" borderId="12" xfId="9" applyFont="1" applyFill="1" applyBorder="1" applyAlignment="1">
      <alignment horizontal="center" vertical="center" wrapText="1"/>
    </xf>
    <xf numFmtId="0" fontId="15" fillId="2" borderId="1" xfId="9" applyFont="1" applyFill="1" applyBorder="1" applyAlignment="1">
      <alignment horizontal="center" vertical="center" wrapText="1"/>
    </xf>
    <xf numFmtId="0" fontId="18" fillId="0" borderId="1" xfId="9" applyFont="1" applyBorder="1" applyAlignment="1">
      <alignment horizontal="center" vertical="center"/>
    </xf>
    <xf numFmtId="0" fontId="18" fillId="0" borderId="0" xfId="9" applyFont="1" applyAlignment="1">
      <alignment vertical="center"/>
    </xf>
    <xf numFmtId="0" fontId="3" fillId="0" borderId="28" xfId="9" applyBorder="1" applyAlignment="1">
      <alignment vertical="top"/>
    </xf>
    <xf numFmtId="0" fontId="3" fillId="0" borderId="29" xfId="9" applyBorder="1" applyAlignment="1">
      <alignment vertical="top"/>
    </xf>
    <xf numFmtId="0" fontId="3" fillId="0" borderId="31" xfId="9" applyBorder="1" applyAlignment="1">
      <alignment vertical="top"/>
    </xf>
    <xf numFmtId="0" fontId="19" fillId="0" borderId="32" xfId="9" applyFont="1" applyBorder="1" applyAlignment="1">
      <alignment vertical="top"/>
    </xf>
    <xf numFmtId="0" fontId="19" fillId="0" borderId="2" xfId="9" applyFont="1" applyBorder="1" applyAlignment="1">
      <alignment vertical="top"/>
    </xf>
    <xf numFmtId="0" fontId="19" fillId="0" borderId="7" xfId="9" applyFont="1" applyBorder="1" applyAlignment="1">
      <alignment vertical="top"/>
    </xf>
    <xf numFmtId="0" fontId="3" fillId="0" borderId="32" xfId="9" applyBorder="1" applyAlignment="1">
      <alignment vertical="top"/>
    </xf>
    <xf numFmtId="0" fontId="3" fillId="0" borderId="2" xfId="9" applyBorder="1" applyAlignment="1">
      <alignment vertical="top"/>
    </xf>
    <xf numFmtId="0" fontId="3" fillId="0" borderId="7" xfId="9" applyBorder="1" applyAlignment="1">
      <alignment vertical="top"/>
    </xf>
    <xf numFmtId="0" fontId="19" fillId="0" borderId="32" xfId="9" applyFont="1" applyBorder="1" applyAlignment="1">
      <alignment vertical="top" wrapText="1"/>
    </xf>
    <xf numFmtId="4" fontId="3" fillId="0" borderId="28" xfId="9" applyNumberFormat="1" applyBorder="1" applyAlignment="1">
      <alignment vertical="top"/>
    </xf>
    <xf numFmtId="4" fontId="3" fillId="0" borderId="29" xfId="9" applyNumberFormat="1" applyBorder="1" applyAlignment="1">
      <alignment vertical="top"/>
    </xf>
    <xf numFmtId="4" fontId="3" fillId="0" borderId="31" xfId="9" applyNumberFormat="1" applyBorder="1" applyAlignment="1">
      <alignment vertical="top"/>
    </xf>
    <xf numFmtId="4" fontId="19" fillId="0" borderId="29" xfId="9" applyNumberFormat="1" applyFont="1" applyBorder="1" applyAlignment="1">
      <alignment vertical="top"/>
    </xf>
    <xf numFmtId="4" fontId="19" fillId="0" borderId="28" xfId="9" applyNumberFormat="1" applyFont="1" applyBorder="1" applyAlignment="1">
      <alignment vertical="top"/>
    </xf>
    <xf numFmtId="4" fontId="19" fillId="0" borderId="31" xfId="9" applyNumberFormat="1" applyFont="1" applyBorder="1" applyAlignment="1">
      <alignment vertical="top"/>
    </xf>
    <xf numFmtId="0" fontId="7" fillId="0" borderId="27" xfId="2" applyFont="1" applyFill="1" applyBorder="1" applyAlignment="1">
      <alignment horizontal="center" vertical="center"/>
    </xf>
    <xf numFmtId="0" fontId="19" fillId="0" borderId="29" xfId="9" applyFont="1" applyBorder="1" applyAlignment="1">
      <alignment horizontal="center" vertical="top"/>
    </xf>
    <xf numFmtId="0" fontId="3" fillId="0" borderId="29" xfId="9" applyBorder="1" applyAlignment="1">
      <alignment vertical="top"/>
    </xf>
    <xf numFmtId="4" fontId="19" fillId="8" borderId="1" xfId="9" applyNumberFormat="1" applyFont="1" applyFill="1" applyBorder="1" applyAlignment="1">
      <alignment vertical="top"/>
    </xf>
    <xf numFmtId="4" fontId="19" fillId="8" borderId="14" xfId="9" applyNumberFormat="1" applyFont="1" applyFill="1" applyBorder="1" applyAlignment="1">
      <alignment vertical="top"/>
    </xf>
    <xf numFmtId="4" fontId="3" fillId="8" borderId="1" xfId="9" applyNumberFormat="1" applyFill="1" applyBorder="1" applyAlignment="1">
      <alignment vertical="top"/>
    </xf>
    <xf numFmtId="4" fontId="19" fillId="0" borderId="1" xfId="9" applyNumberFormat="1" applyFont="1" applyBorder="1" applyAlignment="1">
      <alignment vertical="top"/>
    </xf>
    <xf numFmtId="0" fontId="3" fillId="0" borderId="1" xfId="9" applyBorder="1" applyAlignment="1">
      <alignment vertical="top"/>
    </xf>
    <xf numFmtId="4" fontId="3" fillId="0" borderId="1" xfId="9" applyNumberFormat="1" applyBorder="1" applyAlignment="1">
      <alignment vertical="top"/>
    </xf>
    <xf numFmtId="4" fontId="3" fillId="8" borderId="1" xfId="9" applyNumberFormat="1" applyFont="1" applyFill="1" applyBorder="1" applyAlignment="1">
      <alignment vertical="top"/>
    </xf>
    <xf numFmtId="4" fontId="15" fillId="0" borderId="27" xfId="9" applyNumberFormat="1" applyFont="1" applyBorder="1" applyAlignment="1">
      <alignment horizontal="center" vertical="center" wrapText="1"/>
    </xf>
    <xf numFmtId="0" fontId="7" fillId="6" borderId="21" xfId="2" applyFont="1" applyFill="1" applyBorder="1" applyAlignment="1">
      <alignment horizontal="center" vertical="center"/>
    </xf>
    <xf numFmtId="0" fontId="7" fillId="6" borderId="1" xfId="2" applyFont="1" applyFill="1" applyBorder="1" applyAlignment="1">
      <alignment horizontal="center" vertical="center"/>
    </xf>
    <xf numFmtId="0" fontId="3" fillId="0" borderId="29" xfId="9" applyBorder="1" applyAlignment="1">
      <alignment vertical="top"/>
    </xf>
    <xf numFmtId="0" fontId="3" fillId="0" borderId="1" xfId="9" applyBorder="1" applyAlignment="1">
      <alignment vertical="top"/>
    </xf>
    <xf numFmtId="0" fontId="4" fillId="0" borderId="0" xfId="9" applyFont="1" applyAlignment="1">
      <alignment horizontal="left" vertical="top" wrapText="1"/>
    </xf>
    <xf numFmtId="0" fontId="15" fillId="2" borderId="1" xfId="9" applyFont="1" applyFill="1" applyBorder="1" applyAlignment="1">
      <alignment horizontal="center" vertical="center" wrapText="1"/>
    </xf>
    <xf numFmtId="4" fontId="3" fillId="0" borderId="1" xfId="9" applyNumberFormat="1" applyBorder="1" applyAlignment="1">
      <alignment vertical="top"/>
    </xf>
    <xf numFmtId="4" fontId="19" fillId="8" borderId="14" xfId="9" applyNumberFormat="1" applyFont="1" applyFill="1" applyBorder="1" applyAlignment="1">
      <alignment vertical="top"/>
    </xf>
    <xf numFmtId="4" fontId="19" fillId="8" borderId="1" xfId="9" applyNumberFormat="1" applyFont="1" applyFill="1" applyBorder="1" applyAlignment="1">
      <alignment vertical="top"/>
    </xf>
    <xf numFmtId="4" fontId="19" fillId="0" borderId="14" xfId="9" applyNumberFormat="1" applyFont="1" applyFill="1" applyBorder="1" applyAlignment="1">
      <alignment vertical="top"/>
    </xf>
    <xf numFmtId="0" fontId="3" fillId="0" borderId="14" xfId="9" applyFill="1" applyBorder="1" applyAlignment="1">
      <alignment vertical="top"/>
    </xf>
    <xf numFmtId="0" fontId="3" fillId="0" borderId="0" xfId="9" applyFill="1" applyAlignment="1">
      <alignment vertical="center"/>
    </xf>
    <xf numFmtId="0" fontId="3" fillId="0" borderId="32" xfId="9" applyFill="1" applyBorder="1" applyAlignment="1">
      <alignment vertical="top"/>
    </xf>
    <xf numFmtId="0" fontId="3" fillId="0" borderId="2" xfId="9" applyFill="1" applyBorder="1" applyAlignment="1">
      <alignment vertical="top"/>
    </xf>
    <xf numFmtId="0" fontId="3" fillId="0" borderId="7" xfId="9" applyFill="1" applyBorder="1" applyAlignment="1">
      <alignment vertical="top"/>
    </xf>
    <xf numFmtId="4" fontId="3" fillId="0" borderId="1" xfId="9" applyNumberFormat="1" applyFill="1" applyBorder="1" applyAlignment="1">
      <alignment vertical="top"/>
    </xf>
    <xf numFmtId="0" fontId="3" fillId="0" borderId="1" xfId="9" applyFill="1" applyBorder="1" applyAlignment="1">
      <alignment vertical="top"/>
    </xf>
    <xf numFmtId="0" fontId="22" fillId="0" borderId="0" xfId="0" applyFont="1"/>
    <xf numFmtId="0" fontId="22" fillId="0" borderId="0" xfId="0" applyFont="1" applyAlignment="1">
      <alignment horizontal="center"/>
    </xf>
    <xf numFmtId="0" fontId="4" fillId="0" borderId="0" xfId="1" applyFont="1"/>
    <xf numFmtId="1" fontId="7" fillId="2" borderId="14" xfId="2" applyNumberFormat="1" applyFont="1" applyFill="1" applyBorder="1" applyAlignment="1">
      <alignment horizontal="center" vertical="center"/>
    </xf>
    <xf numFmtId="1" fontId="7" fillId="2" borderId="1" xfId="2" applyNumberFormat="1" applyFont="1" applyFill="1" applyBorder="1" applyAlignment="1">
      <alignment horizontal="center" vertical="center"/>
    </xf>
    <xf numFmtId="0" fontId="23" fillId="0" borderId="0" xfId="0" applyFont="1"/>
    <xf numFmtId="164" fontId="7" fillId="0" borderId="11" xfId="2" applyNumberFormat="1" applyFont="1" applyBorder="1" applyAlignment="1">
      <alignment vertical="center"/>
    </xf>
    <xf numFmtId="164" fontId="8" fillId="0" borderId="1" xfId="2" applyNumberFormat="1" applyFont="1" applyBorder="1" applyAlignment="1">
      <alignment vertical="center"/>
    </xf>
    <xf numFmtId="164" fontId="8" fillId="0" borderId="14" xfId="2" applyNumberFormat="1" applyFont="1" applyBorder="1" applyAlignment="1">
      <alignment vertical="center"/>
    </xf>
    <xf numFmtId="164" fontId="8" fillId="0" borderId="9" xfId="2" applyNumberFormat="1" applyFont="1" applyBorder="1" applyAlignment="1">
      <alignment vertical="center"/>
    </xf>
    <xf numFmtId="0" fontId="23" fillId="0" borderId="0" xfId="0" applyFont="1" applyBorder="1"/>
    <xf numFmtId="164" fontId="7" fillId="0" borderId="1" xfId="2" applyNumberFormat="1" applyFont="1" applyBorder="1" applyAlignment="1">
      <alignment vertical="center"/>
    </xf>
    <xf numFmtId="0" fontId="22" fillId="6" borderId="0" xfId="0" applyFont="1" applyFill="1"/>
    <xf numFmtId="164" fontId="7" fillId="0" borderId="15" xfId="2" applyNumberFormat="1" applyFont="1" applyFill="1" applyBorder="1" applyAlignment="1">
      <alignment vertical="center"/>
    </xf>
    <xf numFmtId="164" fontId="7" fillId="3" borderId="1" xfId="2" applyNumberFormat="1" applyFont="1" applyFill="1" applyBorder="1" applyAlignment="1">
      <alignment vertical="center"/>
    </xf>
    <xf numFmtId="165" fontId="8" fillId="0" borderId="1" xfId="2" applyNumberFormat="1" applyFont="1" applyBorder="1" applyAlignment="1">
      <alignment vertical="center"/>
    </xf>
    <xf numFmtId="165" fontId="8" fillId="0" borderId="9" xfId="2" applyNumberFormat="1" applyFont="1" applyBorder="1" applyAlignment="1">
      <alignment vertical="center"/>
    </xf>
    <xf numFmtId="165" fontId="7" fillId="0" borderId="12" xfId="2" applyNumberFormat="1" applyFont="1" applyFill="1" applyBorder="1" applyAlignment="1">
      <alignment vertical="center"/>
    </xf>
    <xf numFmtId="165" fontId="24" fillId="0" borderId="13" xfId="2" applyNumberFormat="1" applyFont="1" applyBorder="1" applyAlignment="1">
      <alignment vertical="center"/>
    </xf>
    <xf numFmtId="165" fontId="8" fillId="0" borderId="0" xfId="2" applyNumberFormat="1" applyFont="1" applyBorder="1" applyAlignment="1">
      <alignment vertical="center"/>
    </xf>
    <xf numFmtId="0" fontId="8" fillId="0" borderId="0" xfId="2" quotePrefix="1" applyFont="1" applyBorder="1" applyAlignment="1">
      <alignment horizontal="right" vertical="center"/>
    </xf>
    <xf numFmtId="0" fontId="8" fillId="0" borderId="0" xfId="2" applyFont="1" applyBorder="1" applyAlignment="1">
      <alignment vertical="center" wrapText="1"/>
    </xf>
    <xf numFmtId="0" fontId="8" fillId="0" borderId="0" xfId="2" quotePrefix="1" applyFont="1" applyBorder="1" applyAlignment="1">
      <alignment horizontal="left" vertical="center" wrapText="1"/>
    </xf>
    <xf numFmtId="165" fontId="7" fillId="0" borderId="12" xfId="2" applyNumberFormat="1" applyFont="1" applyBorder="1" applyAlignment="1">
      <alignment vertical="center"/>
    </xf>
    <xf numFmtId="165" fontId="7" fillId="0" borderId="1" xfId="2" applyNumberFormat="1" applyFont="1" applyBorder="1" applyAlignment="1">
      <alignment vertical="center"/>
    </xf>
    <xf numFmtId="165" fontId="7" fillId="3" borderId="9" xfId="2" applyNumberFormat="1" applyFont="1" applyFill="1" applyBorder="1" applyAlignment="1">
      <alignment vertical="center"/>
    </xf>
    <xf numFmtId="165" fontId="7" fillId="0" borderId="9" xfId="2" applyNumberFormat="1" applyFont="1" applyBorder="1" applyAlignment="1">
      <alignment vertical="center"/>
    </xf>
    <xf numFmtId="165" fontId="7" fillId="3" borderId="12" xfId="2" applyNumberFormat="1" applyFont="1" applyFill="1" applyBorder="1" applyAlignment="1">
      <alignment vertical="center"/>
    </xf>
    <xf numFmtId="165" fontId="7" fillId="2" borderId="1" xfId="2" applyNumberFormat="1" applyFont="1" applyFill="1" applyBorder="1" applyAlignment="1">
      <alignment vertical="center"/>
    </xf>
    <xf numFmtId="165" fontId="20" fillId="0" borderId="1" xfId="0" applyNumberFormat="1" applyFont="1" applyFill="1" applyBorder="1" applyAlignment="1" applyProtection="1">
      <alignment horizontal="right" vertical="top"/>
    </xf>
    <xf numFmtId="165" fontId="20" fillId="8" borderId="1" xfId="0" applyNumberFormat="1" applyFont="1" applyFill="1" applyBorder="1" applyAlignment="1" applyProtection="1">
      <alignment horizontal="right" vertical="top"/>
    </xf>
    <xf numFmtId="165" fontId="7" fillId="0" borderId="1" xfId="2" applyNumberFormat="1" applyFont="1" applyBorder="1" applyAlignment="1">
      <alignment horizontal="center" vertical="center" wrapText="1"/>
    </xf>
    <xf numFmtId="165" fontId="24" fillId="0" borderId="9" xfId="2" applyNumberFormat="1" applyFont="1" applyFill="1" applyBorder="1" applyAlignment="1">
      <alignment vertical="center"/>
    </xf>
    <xf numFmtId="165" fontId="22" fillId="0" borderId="0" xfId="0" applyNumberFormat="1" applyFont="1"/>
    <xf numFmtId="4" fontId="7" fillId="6" borderId="17" xfId="2" applyNumberFormat="1" applyFont="1" applyFill="1" applyBorder="1" applyAlignment="1">
      <alignment horizontal="center" vertical="center"/>
    </xf>
    <xf numFmtId="4" fontId="7" fillId="6" borderId="13" xfId="11" applyNumberFormat="1" applyFont="1" applyFill="1" applyBorder="1" applyAlignment="1">
      <alignment vertical="center"/>
    </xf>
    <xf numFmtId="4" fontId="22" fillId="6" borderId="0" xfId="0" applyNumberFormat="1" applyFont="1" applyFill="1"/>
    <xf numFmtId="164" fontId="7" fillId="0" borderId="11" xfId="2" applyNumberFormat="1" applyFont="1" applyFill="1" applyBorder="1" applyAlignment="1">
      <alignment vertical="center"/>
    </xf>
    <xf numFmtId="0" fontId="22" fillId="0" borderId="0" xfId="0" applyFont="1" applyFill="1"/>
    <xf numFmtId="164" fontId="7" fillId="0" borderId="12" xfId="2" applyNumberFormat="1" applyFont="1" applyFill="1" applyBorder="1" applyAlignment="1">
      <alignment vertical="center"/>
    </xf>
    <xf numFmtId="164" fontId="22" fillId="0" borderId="0" xfId="0" applyNumberFormat="1" applyFont="1"/>
    <xf numFmtId="164" fontId="7" fillId="0" borderId="12" xfId="2" applyNumberFormat="1" applyFont="1" applyBorder="1" applyAlignment="1">
      <alignment vertical="center"/>
    </xf>
    <xf numFmtId="10" fontId="7" fillId="6" borderId="1" xfId="2" applyNumberFormat="1" applyFont="1" applyFill="1" applyBorder="1" applyAlignment="1">
      <alignment horizontal="right" vertical="center" wrapText="1"/>
    </xf>
    <xf numFmtId="10" fontId="7" fillId="0" borderId="1" xfId="2" applyNumberFormat="1" applyFont="1" applyBorder="1" applyAlignment="1">
      <alignment vertical="center"/>
    </xf>
    <xf numFmtId="10" fontId="7" fillId="2" borderId="1" xfId="2" applyNumberFormat="1" applyFont="1" applyFill="1" applyBorder="1" applyAlignment="1">
      <alignment vertical="center"/>
    </xf>
    <xf numFmtId="10" fontId="7" fillId="7" borderId="1" xfId="2" applyNumberFormat="1" applyFont="1" applyFill="1" applyBorder="1" applyAlignment="1">
      <alignment vertical="center"/>
    </xf>
    <xf numFmtId="10" fontId="7" fillId="6" borderId="1" xfId="2" applyNumberFormat="1" applyFont="1" applyFill="1" applyBorder="1" applyAlignment="1">
      <alignment vertical="center"/>
    </xf>
    <xf numFmtId="0" fontId="11" fillId="0" borderId="34" xfId="2" applyFont="1" applyBorder="1" applyAlignment="1">
      <alignment horizontal="left" vertical="center" wrapText="1"/>
    </xf>
    <xf numFmtId="0" fontId="11" fillId="0" borderId="20" xfId="2" applyFont="1" applyBorder="1" applyAlignment="1">
      <alignment horizontal="left" vertical="center" wrapText="1"/>
    </xf>
    <xf numFmtId="0" fontId="11" fillId="0" borderId="6" xfId="2" applyFont="1" applyBorder="1" applyAlignment="1">
      <alignment horizontal="left" vertical="center" wrapText="1"/>
    </xf>
    <xf numFmtId="0" fontId="9" fillId="0" borderId="35" xfId="7" applyFont="1" applyFill="1" applyBorder="1" applyAlignment="1">
      <alignment horizontal="left" vertical="center" wrapText="1"/>
    </xf>
    <xf numFmtId="0" fontId="9" fillId="0" borderId="18" xfId="7" applyFont="1" applyFill="1" applyBorder="1" applyAlignment="1">
      <alignment horizontal="left" vertical="center" wrapText="1"/>
    </xf>
    <xf numFmtId="0" fontId="9" fillId="0" borderId="8" xfId="7" applyFont="1" applyFill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8" fillId="0" borderId="1" xfId="2" applyFont="1" applyBorder="1" applyAlignment="1">
      <alignment horizontal="left" vertical="center" wrapText="1"/>
    </xf>
    <xf numFmtId="0" fontId="7" fillId="0" borderId="4" xfId="2" applyFont="1" applyBorder="1" applyAlignment="1">
      <alignment horizontal="left" vertical="center" wrapText="1"/>
    </xf>
    <xf numFmtId="0" fontId="7" fillId="0" borderId="27" xfId="2" applyFont="1" applyBorder="1" applyAlignment="1">
      <alignment horizontal="left" vertical="center" wrapText="1"/>
    </xf>
    <xf numFmtId="0" fontId="7" fillId="0" borderId="10" xfId="2" applyFont="1" applyBorder="1" applyAlignment="1">
      <alignment horizontal="left" vertical="center" wrapText="1"/>
    </xf>
    <xf numFmtId="0" fontId="7" fillId="0" borderId="5" xfId="2" applyFont="1" applyBorder="1" applyAlignment="1">
      <alignment horizontal="left" vertical="center" wrapText="1"/>
    </xf>
    <xf numFmtId="0" fontId="7" fillId="0" borderId="2" xfId="2" applyFont="1" applyBorder="1" applyAlignment="1">
      <alignment horizontal="left" vertical="center" wrapText="1"/>
    </xf>
    <xf numFmtId="0" fontId="7" fillId="0" borderId="7" xfId="2" applyFont="1" applyBorder="1" applyAlignment="1">
      <alignment horizontal="left" vertical="center" wrapText="1"/>
    </xf>
    <xf numFmtId="0" fontId="8" fillId="6" borderId="1" xfId="2" applyFont="1" applyFill="1" applyBorder="1" applyAlignment="1">
      <alignment horizontal="left" vertical="center" wrapText="1"/>
    </xf>
    <xf numFmtId="0" fontId="8" fillId="6" borderId="5" xfId="2" applyFont="1" applyFill="1" applyBorder="1" applyAlignment="1">
      <alignment horizontal="left" vertical="center" wrapText="1"/>
    </xf>
    <xf numFmtId="0" fontId="8" fillId="6" borderId="2" xfId="2" applyFont="1" applyFill="1" applyBorder="1" applyAlignment="1">
      <alignment horizontal="left" vertical="center" wrapText="1"/>
    </xf>
    <xf numFmtId="0" fontId="8" fillId="6" borderId="7" xfId="2" applyFont="1" applyFill="1" applyBorder="1" applyAlignment="1">
      <alignment horizontal="left" vertical="center" wrapText="1"/>
    </xf>
    <xf numFmtId="0" fontId="8" fillId="0" borderId="5" xfId="2" applyFont="1" applyBorder="1" applyAlignment="1">
      <alignment horizontal="left" vertical="center" wrapText="1"/>
    </xf>
    <xf numFmtId="0" fontId="8" fillId="0" borderId="2" xfId="2" applyFont="1" applyBorder="1" applyAlignment="1">
      <alignment horizontal="left" vertical="center" wrapText="1"/>
    </xf>
    <xf numFmtId="0" fontId="8" fillId="0" borderId="7" xfId="2" applyFont="1" applyBorder="1" applyAlignment="1">
      <alignment horizontal="left" vertical="center" wrapText="1"/>
    </xf>
    <xf numFmtId="0" fontId="8" fillId="0" borderId="22" xfId="2" applyFont="1" applyFill="1" applyBorder="1" applyAlignment="1">
      <alignment horizontal="center" vertical="center"/>
    </xf>
    <xf numFmtId="0" fontId="8" fillId="0" borderId="36" xfId="2" applyFont="1" applyFill="1" applyBorder="1" applyAlignment="1">
      <alignment horizontal="center" vertical="center"/>
    </xf>
    <xf numFmtId="0" fontId="8" fillId="0" borderId="37" xfId="2" applyFont="1" applyFill="1" applyBorder="1" applyAlignment="1">
      <alignment horizontal="center" vertical="center"/>
    </xf>
    <xf numFmtId="0" fontId="7" fillId="0" borderId="12" xfId="0" applyFont="1" applyBorder="1" applyAlignment="1">
      <alignment horizontal="left" vertical="top" wrapText="1"/>
    </xf>
    <xf numFmtId="0" fontId="8" fillId="8" borderId="32" xfId="2" applyFont="1" applyFill="1" applyBorder="1" applyAlignment="1">
      <alignment horizontal="left" vertical="center" wrapText="1"/>
    </xf>
    <xf numFmtId="0" fontId="8" fillId="8" borderId="2" xfId="2" applyFont="1" applyFill="1" applyBorder="1" applyAlignment="1">
      <alignment horizontal="left" vertical="center" wrapText="1"/>
    </xf>
    <xf numFmtId="0" fontId="8" fillId="8" borderId="7" xfId="2" applyFont="1" applyFill="1" applyBorder="1" applyAlignment="1">
      <alignment horizontal="left" vertical="center" wrapText="1"/>
    </xf>
    <xf numFmtId="0" fontId="8" fillId="0" borderId="35" xfId="2" applyFont="1" applyBorder="1" applyAlignment="1">
      <alignment horizontal="left" vertical="center" wrapText="1"/>
    </xf>
    <xf numFmtId="0" fontId="8" fillId="0" borderId="18" xfId="2" applyFont="1" applyBorder="1" applyAlignment="1">
      <alignment horizontal="left" vertical="center" wrapText="1"/>
    </xf>
    <xf numFmtId="0" fontId="8" fillId="0" borderId="8" xfId="2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4" fontId="7" fillId="6" borderId="33" xfId="2" applyNumberFormat="1" applyFont="1" applyFill="1" applyBorder="1" applyAlignment="1">
      <alignment horizontal="left" vertical="center" wrapText="1"/>
    </xf>
    <xf numFmtId="4" fontId="7" fillId="6" borderId="25" xfId="2" applyNumberFormat="1" applyFont="1" applyFill="1" applyBorder="1" applyAlignment="1">
      <alignment horizontal="left" vertical="center" wrapText="1"/>
    </xf>
    <xf numFmtId="4" fontId="7" fillId="6" borderId="16" xfId="2" applyNumberFormat="1" applyFont="1" applyFill="1" applyBorder="1" applyAlignment="1">
      <alignment horizontal="left" vertical="center" wrapText="1"/>
    </xf>
    <xf numFmtId="0" fontId="20" fillId="0" borderId="0" xfId="1" applyFont="1" applyBorder="1" applyAlignment="1">
      <alignment horizontal="center" vertical="center" wrapText="1"/>
    </xf>
    <xf numFmtId="0" fontId="7" fillId="0" borderId="34" xfId="2" applyFont="1" applyFill="1" applyBorder="1" applyAlignment="1">
      <alignment horizontal="left" vertical="center" wrapText="1"/>
    </xf>
    <xf numFmtId="0" fontId="7" fillId="0" borderId="20" xfId="2" applyFont="1" applyFill="1" applyBorder="1" applyAlignment="1">
      <alignment horizontal="left" vertical="center" wrapText="1"/>
    </xf>
    <xf numFmtId="0" fontId="7" fillId="0" borderId="6" xfId="2" applyFont="1" applyFill="1" applyBorder="1" applyAlignment="1">
      <alignment horizontal="left" vertical="center" wrapText="1"/>
    </xf>
    <xf numFmtId="0" fontId="9" fillId="0" borderId="5" xfId="2" applyFont="1" applyBorder="1" applyAlignment="1">
      <alignment horizontal="left" vertical="center" wrapText="1"/>
    </xf>
    <xf numFmtId="0" fontId="9" fillId="0" borderId="2" xfId="2" applyFont="1" applyBorder="1" applyAlignment="1">
      <alignment horizontal="left" vertical="center" wrapText="1"/>
    </xf>
    <xf numFmtId="0" fontId="9" fillId="0" borderId="7" xfId="2" applyFont="1" applyBorder="1" applyAlignment="1">
      <alignment horizontal="left" vertical="center" wrapText="1"/>
    </xf>
    <xf numFmtId="0" fontId="10" fillId="0" borderId="5" xfId="2" applyFont="1" applyBorder="1" applyAlignment="1">
      <alignment horizontal="left" vertical="center" wrapText="1"/>
    </xf>
    <xf numFmtId="0" fontId="10" fillId="0" borderId="2" xfId="2" applyFont="1" applyBorder="1" applyAlignment="1">
      <alignment horizontal="left" vertical="center" wrapText="1"/>
    </xf>
    <xf numFmtId="0" fontId="10" fillId="0" borderId="7" xfId="2" applyFont="1" applyBorder="1" applyAlignment="1">
      <alignment horizontal="left" vertical="center" wrapText="1"/>
    </xf>
    <xf numFmtId="0" fontId="10" fillId="0" borderId="35" xfId="2" applyFont="1" applyBorder="1" applyAlignment="1">
      <alignment horizontal="left" vertical="center" wrapText="1"/>
    </xf>
    <xf numFmtId="0" fontId="10" fillId="0" borderId="18" xfId="2" applyFont="1" applyBorder="1" applyAlignment="1">
      <alignment horizontal="left" vertical="center" wrapText="1"/>
    </xf>
    <xf numFmtId="0" fontId="10" fillId="0" borderId="8" xfId="2" applyFont="1" applyBorder="1" applyAlignment="1">
      <alignment horizontal="left" vertical="center" wrapText="1"/>
    </xf>
    <xf numFmtId="0" fontId="8" fillId="4" borderId="5" xfId="2" quotePrefix="1" applyFont="1" applyFill="1" applyBorder="1" applyAlignment="1">
      <alignment horizontal="left" vertical="center" wrapText="1"/>
    </xf>
    <xf numFmtId="0" fontId="8" fillId="4" borderId="2" xfId="2" quotePrefix="1" applyFont="1" applyFill="1" applyBorder="1" applyAlignment="1">
      <alignment horizontal="left" vertical="center" wrapText="1"/>
    </xf>
    <xf numFmtId="0" fontId="8" fillId="4" borderId="7" xfId="2" quotePrefix="1" applyFont="1" applyFill="1" applyBorder="1" applyAlignment="1">
      <alignment horizontal="left" vertical="center" wrapText="1"/>
    </xf>
    <xf numFmtId="0" fontId="8" fillId="4" borderId="5" xfId="2" applyFont="1" applyFill="1" applyBorder="1" applyAlignment="1">
      <alignment horizontal="left" vertical="center" wrapText="1"/>
    </xf>
    <xf numFmtId="0" fontId="8" fillId="4" borderId="2" xfId="2" applyFont="1" applyFill="1" applyBorder="1" applyAlignment="1">
      <alignment horizontal="left" vertical="center" wrapText="1"/>
    </xf>
    <xf numFmtId="0" fontId="8" fillId="4" borderId="7" xfId="2" applyFont="1" applyFill="1" applyBorder="1" applyAlignment="1">
      <alignment horizontal="left" vertical="center" wrapText="1"/>
    </xf>
    <xf numFmtId="49" fontId="7" fillId="2" borderId="35" xfId="2" applyNumberFormat="1" applyFont="1" applyFill="1" applyBorder="1" applyAlignment="1">
      <alignment horizontal="center" vertical="center" wrapText="1"/>
    </xf>
    <xf numFmtId="49" fontId="7" fillId="2" borderId="18" xfId="2" applyNumberFormat="1" applyFont="1" applyFill="1" applyBorder="1" applyAlignment="1">
      <alignment horizontal="center" vertical="center" wrapText="1"/>
    </xf>
    <xf numFmtId="49" fontId="7" fillId="2" borderId="8" xfId="2" applyNumberFormat="1" applyFont="1" applyFill="1" applyBorder="1" applyAlignment="1">
      <alignment horizontal="center" vertical="center" wrapText="1"/>
    </xf>
    <xf numFmtId="0" fontId="7" fillId="0" borderId="34" xfId="2" applyFont="1" applyBorder="1" applyAlignment="1">
      <alignment horizontal="left" vertical="center" wrapText="1"/>
    </xf>
    <xf numFmtId="0" fontId="7" fillId="0" borderId="20" xfId="2" applyFont="1" applyBorder="1" applyAlignment="1">
      <alignment horizontal="left" vertical="center" wrapText="1"/>
    </xf>
    <xf numFmtId="0" fontId="7" fillId="0" borderId="6" xfId="2" applyFont="1" applyBorder="1" applyAlignment="1">
      <alignment horizontal="left" vertical="center" wrapText="1"/>
    </xf>
    <xf numFmtId="0" fontId="9" fillId="0" borderId="0" xfId="2" applyFont="1" applyBorder="1" applyAlignment="1">
      <alignment horizontal="left" vertical="center" wrapText="1"/>
    </xf>
    <xf numFmtId="0" fontId="8" fillId="0" borderId="35" xfId="2" applyFont="1" applyBorder="1" applyAlignment="1">
      <alignment horizontal="center" vertical="center" wrapText="1"/>
    </xf>
    <xf numFmtId="0" fontId="8" fillId="0" borderId="18" xfId="2" applyFont="1" applyBorder="1" applyAlignment="1">
      <alignment horizontal="center" vertical="center" wrapText="1"/>
    </xf>
    <xf numFmtId="0" fontId="8" fillId="0" borderId="8" xfId="2" applyFont="1" applyBorder="1" applyAlignment="1">
      <alignment horizontal="center" vertical="center" wrapText="1"/>
    </xf>
    <xf numFmtId="0" fontId="9" fillId="4" borderId="5" xfId="2" applyFont="1" applyFill="1" applyBorder="1" applyAlignment="1">
      <alignment horizontal="left" vertical="center" wrapText="1"/>
    </xf>
    <xf numFmtId="0" fontId="9" fillId="4" borderId="2" xfId="2" applyFont="1" applyFill="1" applyBorder="1" applyAlignment="1">
      <alignment horizontal="left" vertical="center" wrapText="1"/>
    </xf>
    <xf numFmtId="0" fontId="9" fillId="4" borderId="7" xfId="2" applyFont="1" applyFill="1" applyBorder="1" applyAlignment="1">
      <alignment horizontal="left" vertical="center" wrapText="1"/>
    </xf>
    <xf numFmtId="0" fontId="8" fillId="4" borderId="35" xfId="2" applyFont="1" applyFill="1" applyBorder="1" applyAlignment="1">
      <alignment horizontal="left" vertical="center" wrapText="1"/>
    </xf>
    <xf numFmtId="0" fontId="8" fillId="4" borderId="18" xfId="2" applyFont="1" applyFill="1" applyBorder="1" applyAlignment="1">
      <alignment horizontal="left" vertical="center" wrapText="1"/>
    </xf>
    <xf numFmtId="0" fontId="8" fillId="4" borderId="8" xfId="2" applyFont="1" applyFill="1" applyBorder="1" applyAlignment="1">
      <alignment horizontal="left" vertical="center" wrapText="1"/>
    </xf>
    <xf numFmtId="0" fontId="11" fillId="0" borderId="33" xfId="2" applyFont="1" applyFill="1" applyBorder="1" applyAlignment="1">
      <alignment horizontal="left" vertical="center" wrapText="1"/>
    </xf>
    <xf numFmtId="0" fontId="11" fillId="0" borderId="25" xfId="2" applyFont="1" applyFill="1" applyBorder="1" applyAlignment="1">
      <alignment horizontal="left" vertical="center" wrapText="1"/>
    </xf>
    <xf numFmtId="0" fontId="11" fillId="0" borderId="16" xfId="2" applyFont="1" applyFill="1" applyBorder="1" applyAlignment="1">
      <alignment horizontal="left" vertical="center" wrapText="1"/>
    </xf>
    <xf numFmtId="4" fontId="19" fillId="0" borderId="14" xfId="9" applyNumberFormat="1" applyFont="1" applyBorder="1" applyAlignment="1">
      <alignment vertical="top"/>
    </xf>
    <xf numFmtId="0" fontId="19" fillId="0" borderId="29" xfId="9" applyFont="1" applyBorder="1" applyAlignment="1">
      <alignment vertical="top"/>
    </xf>
    <xf numFmtId="0" fontId="19" fillId="0" borderId="12" xfId="9" applyFont="1" applyBorder="1" applyAlignment="1">
      <alignment vertical="top"/>
    </xf>
    <xf numFmtId="0" fontId="15" fillId="2" borderId="14" xfId="9" applyFont="1" applyFill="1" applyBorder="1" applyAlignment="1">
      <alignment horizontal="center" vertical="center" wrapText="1"/>
    </xf>
    <xf numFmtId="0" fontId="15" fillId="2" borderId="12" xfId="9" applyFont="1" applyFill="1" applyBorder="1" applyAlignment="1">
      <alignment horizontal="center" vertical="center" wrapText="1"/>
    </xf>
    <xf numFmtId="0" fontId="19" fillId="5" borderId="14" xfId="9" applyFont="1" applyFill="1" applyBorder="1" applyAlignment="1">
      <alignment horizontal="center" vertical="top"/>
    </xf>
    <xf numFmtId="0" fontId="19" fillId="5" borderId="29" xfId="9" applyFont="1" applyFill="1" applyBorder="1" applyAlignment="1">
      <alignment horizontal="center" vertical="top"/>
    </xf>
    <xf numFmtId="0" fontId="19" fillId="5" borderId="30" xfId="9" applyFont="1" applyFill="1" applyBorder="1" applyAlignment="1">
      <alignment horizontal="center" vertical="top"/>
    </xf>
    <xf numFmtId="0" fontId="19" fillId="0" borderId="1" xfId="9" applyFont="1" applyBorder="1" applyAlignment="1">
      <alignment horizontal="left" vertical="top"/>
    </xf>
    <xf numFmtId="0" fontId="3" fillId="0" borderId="1" xfId="9" applyBorder="1" applyAlignment="1">
      <alignment horizontal="left" vertical="top"/>
    </xf>
    <xf numFmtId="0" fontId="19" fillId="0" borderId="14" xfId="9" applyFont="1" applyBorder="1" applyAlignment="1">
      <alignment horizontal="center" vertical="top"/>
    </xf>
    <xf numFmtId="0" fontId="19" fillId="0" borderId="29" xfId="9" applyFont="1" applyBorder="1" applyAlignment="1">
      <alignment horizontal="center" vertical="top"/>
    </xf>
    <xf numFmtId="0" fontId="19" fillId="0" borderId="30" xfId="9" applyFont="1" applyBorder="1" applyAlignment="1">
      <alignment horizontal="center" vertical="top"/>
    </xf>
    <xf numFmtId="0" fontId="4" fillId="0" borderId="0" xfId="9" applyFont="1" applyAlignment="1">
      <alignment horizontal="left" vertical="top" wrapText="1"/>
    </xf>
    <xf numFmtId="0" fontId="12" fillId="0" borderId="0" xfId="9" applyFont="1" applyBorder="1" applyAlignment="1">
      <alignment horizontal="center" vertical="center" wrapText="1"/>
    </xf>
    <xf numFmtId="0" fontId="15" fillId="2" borderId="14" xfId="9" applyFont="1" applyFill="1" applyBorder="1" applyAlignment="1">
      <alignment horizontal="center" vertical="center"/>
    </xf>
    <xf numFmtId="0" fontId="15" fillId="2" borderId="12" xfId="9" applyFont="1" applyFill="1" applyBorder="1" applyAlignment="1">
      <alignment horizontal="center" vertical="center"/>
    </xf>
    <xf numFmtId="0" fontId="15" fillId="2" borderId="1" xfId="9" applyFont="1" applyFill="1" applyBorder="1" applyAlignment="1">
      <alignment horizontal="center" vertical="center" wrapText="1"/>
    </xf>
    <xf numFmtId="0" fontId="15" fillId="2" borderId="32" xfId="9" applyFont="1" applyFill="1" applyBorder="1" applyAlignment="1">
      <alignment horizontal="center" vertical="center" wrapText="1"/>
    </xf>
    <xf numFmtId="0" fontId="15" fillId="2" borderId="2" xfId="9" applyFont="1" applyFill="1" applyBorder="1" applyAlignment="1">
      <alignment horizontal="center" vertical="center" wrapText="1"/>
    </xf>
    <xf numFmtId="0" fontId="15" fillId="2" borderId="7" xfId="9" applyFont="1" applyFill="1" applyBorder="1" applyAlignment="1">
      <alignment horizontal="center" vertical="center" wrapText="1"/>
    </xf>
    <xf numFmtId="0" fontId="19" fillId="8" borderId="14" xfId="9" applyFont="1" applyFill="1" applyBorder="1" applyAlignment="1">
      <alignment horizontal="right" vertical="top"/>
    </xf>
    <xf numFmtId="0" fontId="19" fillId="8" borderId="29" xfId="9" applyFont="1" applyFill="1" applyBorder="1" applyAlignment="1">
      <alignment horizontal="right" vertical="top"/>
    </xf>
    <xf numFmtId="0" fontId="19" fillId="8" borderId="12" xfId="9" applyFont="1" applyFill="1" applyBorder="1" applyAlignment="1">
      <alignment horizontal="right" vertical="top"/>
    </xf>
    <xf numFmtId="0" fontId="19" fillId="8" borderId="32" xfId="9" applyFont="1" applyFill="1" applyBorder="1" applyAlignment="1">
      <alignment horizontal="left" vertical="top" wrapText="1"/>
    </xf>
    <xf numFmtId="0" fontId="19" fillId="8" borderId="2" xfId="9" applyFont="1" applyFill="1" applyBorder="1" applyAlignment="1">
      <alignment horizontal="left" vertical="top" wrapText="1"/>
    </xf>
    <xf numFmtId="0" fontId="19" fillId="8" borderId="7" xfId="9" applyFont="1" applyFill="1" applyBorder="1" applyAlignment="1">
      <alignment horizontal="left" vertical="top" wrapText="1"/>
    </xf>
    <xf numFmtId="4" fontId="19" fillId="8" borderId="14" xfId="9" applyNumberFormat="1" applyFont="1" applyFill="1" applyBorder="1" applyAlignment="1">
      <alignment vertical="top"/>
    </xf>
    <xf numFmtId="0" fontId="19" fillId="8" borderId="29" xfId="9" applyFont="1" applyFill="1" applyBorder="1" applyAlignment="1">
      <alignment vertical="top"/>
    </xf>
    <xf numFmtId="0" fontId="19" fillId="8" borderId="12" xfId="9" applyFont="1" applyFill="1" applyBorder="1" applyAlignment="1">
      <alignment vertical="top"/>
    </xf>
    <xf numFmtId="0" fontId="3" fillId="8" borderId="32" xfId="9" applyFill="1" applyBorder="1" applyAlignment="1">
      <alignment horizontal="left" vertical="top"/>
    </xf>
    <xf numFmtId="0" fontId="3" fillId="8" borderId="2" xfId="9" applyFill="1" applyBorder="1" applyAlignment="1">
      <alignment horizontal="left" vertical="top"/>
    </xf>
    <xf numFmtId="0" fontId="3" fillId="8" borderId="7" xfId="9" applyFill="1" applyBorder="1" applyAlignment="1">
      <alignment horizontal="left" vertical="top"/>
    </xf>
    <xf numFmtId="4" fontId="3" fillId="0" borderId="14" xfId="9" applyNumberFormat="1" applyBorder="1" applyAlignment="1">
      <alignment vertical="top"/>
    </xf>
    <xf numFmtId="0" fontId="3" fillId="0" borderId="29" xfId="9" applyBorder="1" applyAlignment="1">
      <alignment vertical="top"/>
    </xf>
    <xf numFmtId="0" fontId="3" fillId="0" borderId="12" xfId="9" applyBorder="1" applyAlignment="1">
      <alignment vertical="top"/>
    </xf>
    <xf numFmtId="0" fontId="19" fillId="0" borderId="14" xfId="9" applyFont="1" applyBorder="1" applyAlignment="1">
      <alignment horizontal="left" vertical="top"/>
    </xf>
    <xf numFmtId="0" fontId="19" fillId="0" borderId="29" xfId="9" applyFont="1" applyBorder="1" applyAlignment="1">
      <alignment horizontal="left" vertical="top"/>
    </xf>
    <xf numFmtId="0" fontId="19" fillId="0" borderId="12" xfId="9" applyFont="1" applyBorder="1" applyAlignment="1">
      <alignment horizontal="left" vertical="top"/>
    </xf>
    <xf numFmtId="0" fontId="19" fillId="0" borderId="12" xfId="9" applyFont="1" applyBorder="1" applyAlignment="1">
      <alignment horizontal="center" vertical="top"/>
    </xf>
    <xf numFmtId="4" fontId="19" fillId="0" borderId="14" xfId="9" applyNumberFormat="1" applyFont="1" applyFill="1" applyBorder="1" applyAlignment="1">
      <alignment vertical="top"/>
    </xf>
    <xf numFmtId="0" fontId="19" fillId="0" borderId="29" xfId="9" applyFont="1" applyFill="1" applyBorder="1" applyAlignment="1">
      <alignment vertical="top"/>
    </xf>
    <xf numFmtId="0" fontId="19" fillId="0" borderId="12" xfId="9" applyFont="1" applyFill="1" applyBorder="1" applyAlignment="1">
      <alignment vertical="top"/>
    </xf>
    <xf numFmtId="4" fontId="3" fillId="0" borderId="1" xfId="9" applyNumberFormat="1" applyBorder="1" applyAlignment="1">
      <alignment vertical="top"/>
    </xf>
    <xf numFmtId="0" fontId="3" fillId="0" borderId="1" xfId="9" applyBorder="1" applyAlignment="1">
      <alignment vertical="top"/>
    </xf>
    <xf numFmtId="0" fontId="19" fillId="0" borderId="14" xfId="9" applyFont="1" applyBorder="1" applyAlignment="1">
      <alignment horizontal="left" vertical="top" wrapText="1"/>
    </xf>
    <xf numFmtId="0" fontId="19" fillId="0" borderId="29" xfId="9" applyFont="1" applyBorder="1" applyAlignment="1">
      <alignment horizontal="left" vertical="top" wrapText="1"/>
    </xf>
    <xf numFmtId="0" fontId="19" fillId="0" borderId="12" xfId="9" applyFont="1" applyBorder="1" applyAlignment="1">
      <alignment horizontal="left" vertical="top" wrapText="1"/>
    </xf>
    <xf numFmtId="0" fontId="19" fillId="0" borderId="14" xfId="9" applyFont="1" applyFill="1" applyBorder="1" applyAlignment="1">
      <alignment horizontal="center" vertical="top"/>
    </xf>
    <xf numFmtId="0" fontId="19" fillId="0" borderId="29" xfId="9" applyFont="1" applyFill="1" applyBorder="1" applyAlignment="1">
      <alignment horizontal="center" vertical="top"/>
    </xf>
    <xf numFmtId="0" fontId="19" fillId="0" borderId="30" xfId="9" applyFont="1" applyFill="1" applyBorder="1" applyAlignment="1">
      <alignment horizontal="center" vertical="top"/>
    </xf>
    <xf numFmtId="0" fontId="19" fillId="0" borderId="32" xfId="9" applyFont="1" applyFill="1" applyBorder="1" applyAlignment="1">
      <alignment horizontal="left" vertical="top" wrapText="1"/>
    </xf>
    <xf numFmtId="0" fontId="19" fillId="0" borderId="2" xfId="9" applyFont="1" applyFill="1" applyBorder="1" applyAlignment="1">
      <alignment horizontal="left" vertical="top" wrapText="1"/>
    </xf>
    <xf numFmtId="0" fontId="19" fillId="0" borderId="7" xfId="9" applyFont="1" applyFill="1" applyBorder="1" applyAlignment="1">
      <alignment horizontal="left" vertical="top" wrapText="1"/>
    </xf>
    <xf numFmtId="4" fontId="19" fillId="8" borderId="1" xfId="9" applyNumberFormat="1" applyFont="1" applyFill="1" applyBorder="1" applyAlignment="1">
      <alignment vertical="top"/>
    </xf>
    <xf numFmtId="0" fontId="19" fillId="8" borderId="1" xfId="9" applyFont="1" applyFill="1" applyBorder="1" applyAlignment="1">
      <alignment vertical="top"/>
    </xf>
  </cellXfs>
  <cellStyles count="12">
    <cellStyle name="Dziesiętny" xfId="11" builtinId="3"/>
    <cellStyle name="Normalny" xfId="0" builtinId="0"/>
    <cellStyle name="Normalny 10" xfId="10"/>
    <cellStyle name="Normalny 2" xfId="3"/>
    <cellStyle name="Normalny 3" xfId="4"/>
    <cellStyle name="Normalny 4" xfId="5"/>
    <cellStyle name="Normalny 5" xfId="6"/>
    <cellStyle name="Normalny 6" xfId="7"/>
    <cellStyle name="Normalny 6 2" xfId="2"/>
    <cellStyle name="Normalny 7" xfId="9"/>
    <cellStyle name="Normalny_Prognoza i kredyty-tabele 2003" xfId="1"/>
    <cellStyle name="Procentowy 2" xfId="8"/>
  </cellStyles>
  <dxfs count="0"/>
  <tableStyles count="0" defaultTableStyle="TableStyleMedium9" defaultPivotStyle="PivotStyleLight16"/>
  <colors>
    <mruColors>
      <color rgb="FFFF5A33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ia/Desktop/projekt%20bud&#380;etu%20na%202013/za&#322;&#261;czniki%20do%20uchwa&#322;y%20na%202013%20r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ia/Desktop/projekt%20ur%20luty%202013/za&#322;&#261;czniki%20do%20projektu%20UR%20luty%2020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wydatki własne"/>
    </sheetNames>
    <sheetDataSet>
      <sheetData sheetId="0" refreshError="1">
        <row r="17">
          <cell r="G17">
            <v>2420000</v>
          </cell>
        </row>
        <row r="73">
          <cell r="E73">
            <v>574963.65</v>
          </cell>
        </row>
        <row r="74">
          <cell r="E74">
            <v>11296.35</v>
          </cell>
        </row>
        <row r="75">
          <cell r="E75">
            <v>205538</v>
          </cell>
        </row>
        <row r="109">
          <cell r="E109">
            <v>2337947</v>
          </cell>
        </row>
        <row r="110">
          <cell r="E110">
            <v>230741</v>
          </cell>
        </row>
        <row r="126">
          <cell r="G126">
            <v>3230000</v>
          </cell>
        </row>
      </sheetData>
      <sheetData sheetId="1" refreshError="1">
        <row r="28">
          <cell r="E28">
            <v>5141113</v>
          </cell>
        </row>
        <row r="88">
          <cell r="F88">
            <v>38928732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zał.1 dochody zw"/>
      <sheetName val="Zał.2 zw.wydatk"/>
      <sheetName val="3"/>
      <sheetName val="4"/>
    </sheetNames>
    <sheetDataSet>
      <sheetData sheetId="0" refreshError="1"/>
      <sheetData sheetId="1">
        <row r="14">
          <cell r="M14">
            <v>2487590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G64"/>
  <sheetViews>
    <sheetView tabSelected="1" zoomScaleNormal="100" workbookViewId="0">
      <selection activeCell="P3" sqref="P3"/>
    </sheetView>
  </sheetViews>
  <sheetFormatPr defaultRowHeight="11.25"/>
  <cols>
    <col min="1" max="1" width="3.5" style="71" bestFit="1" customWidth="1"/>
    <col min="2" max="2" width="1.875" style="70" customWidth="1"/>
    <col min="3" max="3" width="2.5" style="70" customWidth="1"/>
    <col min="4" max="4" width="7.875" style="70" customWidth="1"/>
    <col min="5" max="19" width="9.875" style="70" customWidth="1"/>
    <col min="20" max="16384" width="9" style="70"/>
  </cols>
  <sheetData>
    <row r="1" spans="1:215" ht="38.25" customHeight="1">
      <c r="A1" s="123" t="s">
        <v>16</v>
      </c>
      <c r="B1" s="123"/>
      <c r="C1" s="123"/>
      <c r="D1" s="123"/>
      <c r="G1" s="110"/>
      <c r="H1" s="110"/>
      <c r="J1" s="110"/>
    </row>
    <row r="2" spans="1:215" ht="43.5" customHeight="1">
      <c r="B2" s="72"/>
      <c r="P2" s="148" t="s">
        <v>124</v>
      </c>
      <c r="Q2" s="148"/>
      <c r="R2" s="148"/>
      <c r="S2" s="148"/>
    </row>
    <row r="3" spans="1:215" ht="12" thickBot="1">
      <c r="A3" s="152" t="s">
        <v>121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</row>
    <row r="4" spans="1:215" ht="21" customHeight="1" thickBot="1">
      <c r="A4" s="1" t="s">
        <v>15</v>
      </c>
      <c r="B4" s="171" t="s">
        <v>14</v>
      </c>
      <c r="C4" s="172"/>
      <c r="D4" s="173"/>
      <c r="E4" s="73">
        <v>2013</v>
      </c>
      <c r="F4" s="73">
        <v>2014</v>
      </c>
      <c r="G4" s="73">
        <v>2015</v>
      </c>
      <c r="H4" s="74">
        <v>2016</v>
      </c>
      <c r="I4" s="73">
        <v>2017</v>
      </c>
      <c r="J4" s="73">
        <v>2018</v>
      </c>
      <c r="K4" s="73">
        <v>2019</v>
      </c>
      <c r="L4" s="73">
        <v>2020</v>
      </c>
      <c r="M4" s="73">
        <v>2021</v>
      </c>
      <c r="N4" s="73">
        <v>2022</v>
      </c>
      <c r="O4" s="73">
        <v>2023</v>
      </c>
      <c r="P4" s="73">
        <v>2024</v>
      </c>
      <c r="Q4" s="73">
        <v>2025</v>
      </c>
      <c r="R4" s="73">
        <v>2026</v>
      </c>
      <c r="S4" s="73">
        <v>2027</v>
      </c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/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/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/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/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/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/>
      <c r="EF4" s="75"/>
      <c r="EG4" s="75"/>
      <c r="EH4" s="75"/>
      <c r="EI4" s="75"/>
      <c r="EJ4" s="75"/>
      <c r="EK4" s="75"/>
      <c r="EL4" s="75"/>
      <c r="EM4" s="75"/>
      <c r="EN4" s="75"/>
      <c r="EO4" s="75"/>
      <c r="EP4" s="75"/>
      <c r="EQ4" s="75"/>
      <c r="ER4" s="75"/>
      <c r="ES4" s="75"/>
      <c r="ET4" s="75"/>
      <c r="EU4" s="75"/>
      <c r="EV4" s="75"/>
      <c r="EW4" s="75"/>
      <c r="EX4" s="75"/>
      <c r="EY4" s="75"/>
      <c r="EZ4" s="75"/>
      <c r="FA4" s="75"/>
      <c r="FB4" s="75"/>
      <c r="FC4" s="75"/>
      <c r="FD4" s="75"/>
      <c r="FE4" s="75"/>
      <c r="FF4" s="75"/>
      <c r="FG4" s="75"/>
      <c r="FH4" s="75"/>
      <c r="FI4" s="75"/>
      <c r="FJ4" s="75"/>
      <c r="FK4" s="75"/>
      <c r="FL4" s="75"/>
      <c r="FM4" s="75"/>
      <c r="FN4" s="75"/>
      <c r="FO4" s="75"/>
      <c r="FP4" s="75"/>
      <c r="FQ4" s="75"/>
      <c r="FR4" s="75"/>
      <c r="FS4" s="75"/>
      <c r="FT4" s="75"/>
      <c r="FU4" s="75"/>
      <c r="FV4" s="75"/>
      <c r="FW4" s="75"/>
      <c r="FX4" s="75"/>
      <c r="FY4" s="75"/>
      <c r="FZ4" s="75"/>
      <c r="GA4" s="75"/>
      <c r="GB4" s="75"/>
      <c r="GC4" s="75"/>
      <c r="GD4" s="75"/>
      <c r="GE4" s="75"/>
      <c r="GF4" s="75"/>
      <c r="GG4" s="75"/>
      <c r="GH4" s="75"/>
      <c r="GI4" s="75"/>
      <c r="GJ4" s="75"/>
      <c r="GK4" s="75"/>
      <c r="GL4" s="75"/>
      <c r="GM4" s="75"/>
      <c r="GN4" s="75"/>
      <c r="GO4" s="75"/>
      <c r="GP4" s="75"/>
      <c r="GQ4" s="75"/>
      <c r="GR4" s="75"/>
      <c r="GS4" s="75"/>
      <c r="GT4" s="75"/>
      <c r="GU4" s="75"/>
      <c r="GV4" s="75"/>
      <c r="GW4" s="75"/>
      <c r="GX4" s="75"/>
      <c r="GY4" s="75"/>
      <c r="GZ4" s="75"/>
      <c r="HA4" s="75"/>
      <c r="HB4" s="75"/>
      <c r="HC4" s="75"/>
      <c r="HD4" s="75"/>
      <c r="HE4" s="75"/>
      <c r="HF4" s="75"/>
      <c r="HG4" s="75"/>
    </row>
    <row r="5" spans="1:215" s="108" customFormat="1">
      <c r="A5" s="2" t="s">
        <v>7</v>
      </c>
      <c r="B5" s="153" t="s">
        <v>58</v>
      </c>
      <c r="C5" s="154"/>
      <c r="D5" s="155"/>
      <c r="E5" s="107">
        <f>E6+E9</f>
        <v>78113456</v>
      </c>
      <c r="F5" s="107">
        <f>F6+F9</f>
        <v>79766598</v>
      </c>
      <c r="G5" s="107">
        <f t="shared" ref="G5:L5" si="0">G6+G9</f>
        <v>81265208</v>
      </c>
      <c r="H5" s="109">
        <f t="shared" si="0"/>
        <v>82793502</v>
      </c>
      <c r="I5" s="107">
        <f t="shared" si="0"/>
        <v>83467497</v>
      </c>
      <c r="J5" s="107">
        <f t="shared" si="0"/>
        <v>85157333</v>
      </c>
      <c r="K5" s="107">
        <f t="shared" si="0"/>
        <v>85365596</v>
      </c>
      <c r="L5" s="107">
        <f t="shared" si="0"/>
        <v>86622203.069999993</v>
      </c>
      <c r="M5" s="107">
        <f t="shared" ref="M5:S5" si="1">M6+M9</f>
        <v>87897420.670699999</v>
      </c>
      <c r="N5" s="107">
        <f t="shared" si="1"/>
        <v>89191525.577407002</v>
      </c>
      <c r="O5" s="107">
        <f t="shared" si="1"/>
        <v>90504798.613181069</v>
      </c>
      <c r="P5" s="107">
        <f t="shared" si="1"/>
        <v>91837524.649312884</v>
      </c>
      <c r="Q5" s="107">
        <f t="shared" si="1"/>
        <v>93189992.605806008</v>
      </c>
      <c r="R5" s="107">
        <f t="shared" si="1"/>
        <v>94562497.451864064</v>
      </c>
      <c r="S5" s="107">
        <f t="shared" si="1"/>
        <v>95955336.206382707</v>
      </c>
    </row>
    <row r="6" spans="1:215">
      <c r="A6" s="138"/>
      <c r="B6" s="156" t="s">
        <v>17</v>
      </c>
      <c r="C6" s="157"/>
      <c r="D6" s="158"/>
      <c r="E6" s="77">
        <f>73397382+61200</f>
        <v>73458582</v>
      </c>
      <c r="F6" s="77">
        <v>74077146</v>
      </c>
      <c r="G6" s="77">
        <v>75558688</v>
      </c>
      <c r="H6" s="77">
        <v>77069862</v>
      </c>
      <c r="I6" s="77">
        <v>78225910</v>
      </c>
      <c r="J6" s="77">
        <v>79399300</v>
      </c>
      <c r="K6" s="77">
        <v>80590289</v>
      </c>
      <c r="L6" s="77">
        <v>81799143</v>
      </c>
      <c r="M6" s="77">
        <v>83026130</v>
      </c>
      <c r="N6" s="77">
        <v>84271522</v>
      </c>
      <c r="O6" s="77">
        <v>85535595</v>
      </c>
      <c r="P6" s="77">
        <v>86818629</v>
      </c>
      <c r="Q6" s="77">
        <v>88120908</v>
      </c>
      <c r="R6" s="77">
        <v>89442722</v>
      </c>
      <c r="S6" s="77">
        <v>90784363</v>
      </c>
    </row>
    <row r="7" spans="1:215" ht="14.25" customHeight="1">
      <c r="A7" s="139"/>
      <c r="B7" s="135" t="s">
        <v>59</v>
      </c>
      <c r="C7" s="136"/>
      <c r="D7" s="13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</row>
    <row r="8" spans="1:215" ht="14.25" customHeight="1">
      <c r="A8" s="139"/>
      <c r="B8" s="159" t="s">
        <v>60</v>
      </c>
      <c r="C8" s="160"/>
      <c r="D8" s="161"/>
      <c r="E8" s="77">
        <f>'[1]1'!$E$73+'[1]1'!$E$74+'[1]1'!$E$75+'[1]1'!$E$109+'[1]1'!$E$110</f>
        <v>3360486</v>
      </c>
      <c r="F8" s="77">
        <f>40967+Przedsięwzięcia!H28+Przedsięwzięcia!H31</f>
        <v>448479</v>
      </c>
      <c r="G8" s="77">
        <f>Przedsięwzięcia!I28</f>
        <v>156640</v>
      </c>
      <c r="H8" s="77">
        <v>0</v>
      </c>
      <c r="I8" s="77">
        <v>0</v>
      </c>
      <c r="J8" s="77">
        <v>0</v>
      </c>
      <c r="K8" s="77">
        <v>0</v>
      </c>
      <c r="L8" s="77">
        <v>0</v>
      </c>
      <c r="M8" s="77">
        <v>0</v>
      </c>
      <c r="N8" s="77">
        <v>0</v>
      </c>
      <c r="O8" s="77">
        <v>0</v>
      </c>
      <c r="P8" s="77">
        <v>0</v>
      </c>
      <c r="Q8" s="77">
        <v>0</v>
      </c>
      <c r="R8" s="77">
        <v>0</v>
      </c>
      <c r="S8" s="77">
        <v>0</v>
      </c>
    </row>
    <row r="9" spans="1:215" ht="14.25" customHeight="1">
      <c r="A9" s="139"/>
      <c r="B9" s="135" t="s">
        <v>18</v>
      </c>
      <c r="C9" s="136"/>
      <c r="D9" s="137"/>
      <c r="E9" s="77">
        <f>'[1]1'!$G$126+1324874+100000</f>
        <v>4654874</v>
      </c>
      <c r="F9" s="77">
        <f>5689452</f>
        <v>5689452</v>
      </c>
      <c r="G9" s="77">
        <v>5706520</v>
      </c>
      <c r="H9" s="77">
        <v>5723640</v>
      </c>
      <c r="I9" s="77">
        <v>5241587</v>
      </c>
      <c r="J9" s="77">
        <v>5758033</v>
      </c>
      <c r="K9" s="77">
        <v>4775307</v>
      </c>
      <c r="L9" s="77">
        <f>K9*1.01</f>
        <v>4823060.07</v>
      </c>
      <c r="M9" s="77">
        <f t="shared" ref="M9:S9" si="2">L9*1.01</f>
        <v>4871290.6707000006</v>
      </c>
      <c r="N9" s="77">
        <f t="shared" si="2"/>
        <v>4920003.5774070006</v>
      </c>
      <c r="O9" s="77">
        <f t="shared" si="2"/>
        <v>4969203.6131810704</v>
      </c>
      <c r="P9" s="77">
        <f t="shared" si="2"/>
        <v>5018895.6493128808</v>
      </c>
      <c r="Q9" s="77">
        <f t="shared" si="2"/>
        <v>5069084.6058060098</v>
      </c>
      <c r="R9" s="77">
        <f t="shared" si="2"/>
        <v>5119775.4518640703</v>
      </c>
      <c r="S9" s="77">
        <f t="shared" si="2"/>
        <v>5170973.2063827114</v>
      </c>
    </row>
    <row r="10" spans="1:215" ht="14.25" customHeight="1">
      <c r="A10" s="139"/>
      <c r="B10" s="135" t="s">
        <v>59</v>
      </c>
      <c r="C10" s="136"/>
      <c r="D10" s="137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</row>
    <row r="11" spans="1:215" ht="14.25" customHeight="1">
      <c r="A11" s="139"/>
      <c r="B11" s="135" t="s">
        <v>61</v>
      </c>
      <c r="C11" s="136"/>
      <c r="D11" s="137"/>
      <c r="E11" s="78">
        <f>'[1]1'!$G$17</f>
        <v>2420000</v>
      </c>
      <c r="F11" s="78">
        <v>3500000</v>
      </c>
      <c r="G11" s="78">
        <v>500000</v>
      </c>
      <c r="H11" s="78">
        <v>500000</v>
      </c>
      <c r="I11" s="78">
        <v>500000</v>
      </c>
      <c r="J11" s="78">
        <v>500000</v>
      </c>
      <c r="K11" s="78">
        <v>500000</v>
      </c>
      <c r="L11" s="78">
        <v>500000</v>
      </c>
      <c r="M11" s="78">
        <v>500000</v>
      </c>
      <c r="N11" s="78">
        <v>500000</v>
      </c>
      <c r="O11" s="78">
        <v>500000</v>
      </c>
      <c r="P11" s="78">
        <v>500000</v>
      </c>
      <c r="Q11" s="78">
        <v>500000</v>
      </c>
      <c r="R11" s="78">
        <v>500000</v>
      </c>
      <c r="S11" s="78">
        <v>500000</v>
      </c>
    </row>
    <row r="12" spans="1:215" ht="15" customHeight="1" thickBot="1">
      <c r="A12" s="140"/>
      <c r="B12" s="162" t="s">
        <v>60</v>
      </c>
      <c r="C12" s="163"/>
      <c r="D12" s="164"/>
      <c r="E12" s="79">
        <v>1324784</v>
      </c>
      <c r="F12" s="79">
        <v>0</v>
      </c>
      <c r="G12" s="79">
        <v>0</v>
      </c>
      <c r="H12" s="79">
        <v>0</v>
      </c>
      <c r="I12" s="79">
        <v>0</v>
      </c>
      <c r="J12" s="79">
        <v>0</v>
      </c>
      <c r="K12" s="79">
        <v>0</v>
      </c>
      <c r="L12" s="79">
        <v>0</v>
      </c>
      <c r="M12" s="79">
        <v>0</v>
      </c>
      <c r="N12" s="79">
        <v>0</v>
      </c>
      <c r="O12" s="79">
        <v>0</v>
      </c>
      <c r="P12" s="79">
        <v>0</v>
      </c>
      <c r="Q12" s="79">
        <v>0</v>
      </c>
      <c r="R12" s="79">
        <v>0</v>
      </c>
      <c r="S12" s="79">
        <v>0</v>
      </c>
    </row>
    <row r="13" spans="1:215">
      <c r="A13" s="2" t="s">
        <v>8</v>
      </c>
      <c r="B13" s="174" t="s">
        <v>19</v>
      </c>
      <c r="C13" s="175"/>
      <c r="D13" s="176"/>
      <c r="E13" s="76">
        <f>E14+E23</f>
        <v>76850636</v>
      </c>
      <c r="F13" s="76">
        <f t="shared" ref="F13:L13" si="3">F14+F23</f>
        <v>79144629</v>
      </c>
      <c r="G13" s="76">
        <f t="shared" si="3"/>
        <v>80370202</v>
      </c>
      <c r="H13" s="76">
        <f t="shared" si="3"/>
        <v>82184214</v>
      </c>
      <c r="I13" s="76">
        <f t="shared" si="3"/>
        <v>82858208.997199997</v>
      </c>
      <c r="J13" s="76">
        <f t="shared" si="3"/>
        <v>82548044.999172002</v>
      </c>
      <c r="K13" s="76">
        <f t="shared" si="3"/>
        <v>82756307.996959567</v>
      </c>
      <c r="L13" s="76">
        <f t="shared" si="3"/>
        <v>84012875.073829174</v>
      </c>
      <c r="M13" s="76">
        <f t="shared" ref="M13:S13" si="4">M14+M23</f>
        <v>86033128.666705757</v>
      </c>
      <c r="N13" s="76">
        <f t="shared" si="4"/>
        <v>87327233.572639868</v>
      </c>
      <c r="O13" s="76">
        <f t="shared" si="4"/>
        <v>88640506.617492661</v>
      </c>
      <c r="P13" s="76">
        <f t="shared" si="4"/>
        <v>89973232.644442528</v>
      </c>
      <c r="Q13" s="76">
        <f t="shared" si="4"/>
        <v>91325700.610731393</v>
      </c>
      <c r="R13" s="76">
        <f t="shared" si="4"/>
        <v>92698205.451146021</v>
      </c>
      <c r="S13" s="76">
        <f t="shared" si="4"/>
        <v>94091044.20356895</v>
      </c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80"/>
      <c r="BQ13" s="80"/>
      <c r="BR13" s="80"/>
      <c r="BS13" s="80"/>
      <c r="BT13" s="80"/>
      <c r="BU13" s="80"/>
      <c r="BV13" s="80"/>
      <c r="BW13" s="80"/>
      <c r="BX13" s="80"/>
      <c r="BY13" s="80"/>
      <c r="BZ13" s="80"/>
      <c r="CA13" s="80"/>
      <c r="CB13" s="80"/>
      <c r="CC13" s="80"/>
      <c r="CD13" s="80"/>
      <c r="CE13" s="80"/>
      <c r="CF13" s="80"/>
      <c r="CG13" s="80"/>
      <c r="CH13" s="80"/>
      <c r="CI13" s="80"/>
      <c r="CJ13" s="80"/>
      <c r="CK13" s="80"/>
      <c r="CL13" s="80"/>
      <c r="CM13" s="80"/>
      <c r="CN13" s="80"/>
      <c r="CO13" s="80"/>
      <c r="CP13" s="80"/>
      <c r="CQ13" s="80"/>
      <c r="CR13" s="80"/>
      <c r="CS13" s="80"/>
      <c r="CT13" s="80"/>
      <c r="CU13" s="80"/>
      <c r="CV13" s="80"/>
      <c r="CW13" s="80"/>
      <c r="CX13" s="80"/>
      <c r="CY13" s="80"/>
      <c r="CZ13" s="80"/>
      <c r="DA13" s="80"/>
      <c r="DB13" s="80"/>
      <c r="DC13" s="80"/>
      <c r="DD13" s="80"/>
      <c r="DE13" s="80"/>
      <c r="DF13" s="80"/>
      <c r="DG13" s="80"/>
      <c r="DH13" s="80"/>
      <c r="DI13" s="80"/>
      <c r="DJ13" s="80"/>
      <c r="DK13" s="80"/>
      <c r="DL13" s="80"/>
      <c r="DM13" s="80"/>
      <c r="DN13" s="80"/>
      <c r="DO13" s="80"/>
      <c r="DP13" s="80"/>
      <c r="DQ13" s="80"/>
      <c r="DR13" s="80"/>
      <c r="DS13" s="80"/>
      <c r="DT13" s="80"/>
      <c r="DU13" s="80"/>
      <c r="DV13" s="80"/>
      <c r="DW13" s="80"/>
      <c r="DX13" s="80"/>
      <c r="DY13" s="80"/>
      <c r="DZ13" s="80"/>
      <c r="EA13" s="80"/>
      <c r="EB13" s="80"/>
      <c r="EC13" s="80"/>
      <c r="ED13" s="80"/>
      <c r="EE13" s="80"/>
      <c r="EF13" s="80"/>
      <c r="EG13" s="80"/>
      <c r="EH13" s="80"/>
      <c r="EI13" s="80"/>
      <c r="EJ13" s="80"/>
      <c r="EK13" s="80"/>
      <c r="EL13" s="80"/>
      <c r="EM13" s="80"/>
      <c r="EN13" s="80"/>
      <c r="EO13" s="80"/>
      <c r="EP13" s="80"/>
      <c r="EQ13" s="80"/>
      <c r="ER13" s="80"/>
      <c r="ES13" s="80"/>
      <c r="ET13" s="80"/>
      <c r="EU13" s="80"/>
      <c r="EV13" s="80"/>
      <c r="EW13" s="80"/>
      <c r="EX13" s="80"/>
      <c r="EY13" s="80"/>
      <c r="EZ13" s="80"/>
      <c r="FA13" s="80"/>
      <c r="FB13" s="80"/>
      <c r="FC13" s="80"/>
      <c r="FD13" s="80"/>
      <c r="FE13" s="80"/>
      <c r="FF13" s="80"/>
      <c r="FG13" s="80"/>
      <c r="FH13" s="80"/>
      <c r="FI13" s="80"/>
      <c r="FJ13" s="80"/>
      <c r="FK13" s="80"/>
      <c r="FL13" s="80"/>
      <c r="FM13" s="80"/>
      <c r="FN13" s="80"/>
      <c r="FO13" s="80"/>
      <c r="FP13" s="80"/>
      <c r="FQ13" s="80"/>
      <c r="FR13" s="80"/>
      <c r="FS13" s="80"/>
      <c r="FT13" s="80"/>
      <c r="FU13" s="80"/>
      <c r="FV13" s="80"/>
      <c r="FW13" s="80"/>
      <c r="FX13" s="80"/>
      <c r="FY13" s="80"/>
      <c r="FZ13" s="80"/>
      <c r="GA13" s="80"/>
      <c r="GB13" s="80"/>
      <c r="GC13" s="80"/>
      <c r="GD13" s="80"/>
      <c r="GE13" s="80"/>
      <c r="GF13" s="80"/>
      <c r="GG13" s="80"/>
      <c r="GH13" s="80"/>
      <c r="GI13" s="80"/>
      <c r="GJ13" s="80"/>
      <c r="GK13" s="80"/>
      <c r="GL13" s="80"/>
      <c r="GM13" s="80"/>
      <c r="GN13" s="80"/>
      <c r="GO13" s="80"/>
      <c r="GP13" s="80"/>
      <c r="GQ13" s="80"/>
      <c r="GR13" s="80"/>
      <c r="GS13" s="80"/>
      <c r="GT13" s="80"/>
      <c r="GU13" s="80"/>
      <c r="GV13" s="80"/>
      <c r="GW13" s="80"/>
      <c r="GX13" s="80"/>
      <c r="GY13" s="80"/>
      <c r="GZ13" s="80"/>
      <c r="HA13" s="80"/>
      <c r="HB13" s="80"/>
      <c r="HC13" s="80"/>
      <c r="HD13" s="80"/>
      <c r="HE13" s="80"/>
      <c r="HF13" s="80"/>
      <c r="HG13" s="80"/>
    </row>
    <row r="14" spans="1:215">
      <c r="A14" s="5"/>
      <c r="B14" s="135" t="s">
        <v>20</v>
      </c>
      <c r="C14" s="136"/>
      <c r="D14" s="137"/>
      <c r="E14" s="81">
        <f>E15+E20</f>
        <v>70537879</v>
      </c>
      <c r="F14" s="81">
        <f>F15+F20</f>
        <v>70606264</v>
      </c>
      <c r="G14" s="81">
        <f t="shared" ref="G14:L14" si="5">G15+G20</f>
        <v>71672525</v>
      </c>
      <c r="H14" s="81">
        <f>H15+H20-23.28</f>
        <v>72329989.439999998</v>
      </c>
      <c r="I14" s="81">
        <f t="shared" si="5"/>
        <v>72997649.1972</v>
      </c>
      <c r="J14" s="81">
        <f t="shared" si="5"/>
        <v>73551422.519171998</v>
      </c>
      <c r="K14" s="81">
        <f t="shared" si="5"/>
        <v>74474114.686959565</v>
      </c>
      <c r="L14" s="81">
        <f t="shared" si="5"/>
        <v>75065441.143829167</v>
      </c>
      <c r="M14" s="81">
        <f t="shared" ref="M14:S14" si="6">M15+M20</f>
        <v>76385642.296705753</v>
      </c>
      <c r="N14" s="81">
        <f t="shared" si="6"/>
        <v>77777192.742639869</v>
      </c>
      <c r="O14" s="81">
        <f t="shared" si="6"/>
        <v>79199004.847492665</v>
      </c>
      <c r="P14" s="81">
        <f t="shared" si="6"/>
        <v>80651683.81444253</v>
      </c>
      <c r="Q14" s="81">
        <f t="shared" si="6"/>
        <v>82135847.02073139</v>
      </c>
      <c r="R14" s="81">
        <f t="shared" si="6"/>
        <v>83652124.121146023</v>
      </c>
      <c r="S14" s="81">
        <f t="shared" si="6"/>
        <v>85201157.393568948</v>
      </c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80"/>
      <c r="CH14" s="80"/>
      <c r="CI14" s="80"/>
      <c r="CJ14" s="80"/>
      <c r="CK14" s="80"/>
      <c r="CL14" s="80"/>
      <c r="CM14" s="80"/>
      <c r="CN14" s="80"/>
      <c r="CO14" s="80"/>
      <c r="CP14" s="80"/>
      <c r="CQ14" s="80"/>
      <c r="CR14" s="80"/>
      <c r="CS14" s="80"/>
      <c r="CT14" s="80"/>
      <c r="CU14" s="80"/>
      <c r="CV14" s="80"/>
      <c r="CW14" s="80"/>
      <c r="CX14" s="80"/>
      <c r="CY14" s="80"/>
      <c r="CZ14" s="80"/>
      <c r="DA14" s="80"/>
      <c r="DB14" s="80"/>
      <c r="DC14" s="80"/>
      <c r="DD14" s="80"/>
      <c r="DE14" s="80"/>
      <c r="DF14" s="80"/>
      <c r="DG14" s="80"/>
      <c r="DH14" s="80"/>
      <c r="DI14" s="80"/>
      <c r="DJ14" s="80"/>
      <c r="DK14" s="80"/>
      <c r="DL14" s="80"/>
      <c r="DM14" s="80"/>
      <c r="DN14" s="80"/>
      <c r="DO14" s="80"/>
      <c r="DP14" s="80"/>
      <c r="DQ14" s="80"/>
      <c r="DR14" s="80"/>
      <c r="DS14" s="80"/>
      <c r="DT14" s="80"/>
      <c r="DU14" s="80"/>
      <c r="DV14" s="80"/>
      <c r="DW14" s="80"/>
      <c r="DX14" s="80"/>
      <c r="DY14" s="80"/>
      <c r="DZ14" s="80"/>
      <c r="EA14" s="80"/>
      <c r="EB14" s="80"/>
      <c r="EC14" s="80"/>
      <c r="ED14" s="80"/>
      <c r="EE14" s="80"/>
      <c r="EF14" s="80"/>
      <c r="EG14" s="80"/>
      <c r="EH14" s="80"/>
      <c r="EI14" s="80"/>
      <c r="EJ14" s="80"/>
      <c r="EK14" s="80"/>
      <c r="EL14" s="80"/>
      <c r="EM14" s="80"/>
      <c r="EN14" s="80"/>
      <c r="EO14" s="80"/>
      <c r="EP14" s="80"/>
      <c r="EQ14" s="80"/>
      <c r="ER14" s="80"/>
      <c r="ES14" s="80"/>
      <c r="ET14" s="80"/>
      <c r="EU14" s="80"/>
      <c r="EV14" s="80"/>
      <c r="EW14" s="80"/>
      <c r="EX14" s="80"/>
      <c r="EY14" s="80"/>
      <c r="EZ14" s="80"/>
      <c r="FA14" s="80"/>
      <c r="FB14" s="80"/>
      <c r="FC14" s="80"/>
      <c r="FD14" s="80"/>
      <c r="FE14" s="80"/>
      <c r="FF14" s="80"/>
      <c r="FG14" s="80"/>
      <c r="FH14" s="80"/>
      <c r="FI14" s="80"/>
      <c r="FJ14" s="80"/>
      <c r="FK14" s="80"/>
      <c r="FL14" s="80"/>
      <c r="FM14" s="80"/>
      <c r="FN14" s="80"/>
      <c r="FO14" s="80"/>
      <c r="FP14" s="80"/>
      <c r="FQ14" s="80"/>
      <c r="FR14" s="80"/>
      <c r="FS14" s="80"/>
      <c r="FT14" s="80"/>
      <c r="FU14" s="80"/>
      <c r="FV14" s="80"/>
      <c r="FW14" s="80"/>
      <c r="FX14" s="80"/>
      <c r="FY14" s="80"/>
      <c r="FZ14" s="80"/>
      <c r="GA14" s="80"/>
      <c r="GB14" s="80"/>
      <c r="GC14" s="80"/>
      <c r="GD14" s="80"/>
      <c r="GE14" s="80"/>
      <c r="GF14" s="80"/>
      <c r="GG14" s="80"/>
      <c r="GH14" s="80"/>
      <c r="GI14" s="80"/>
      <c r="GJ14" s="80"/>
      <c r="GK14" s="80"/>
      <c r="GL14" s="80"/>
      <c r="GM14" s="80"/>
      <c r="GN14" s="80"/>
      <c r="GO14" s="80"/>
      <c r="GP14" s="80"/>
      <c r="GQ14" s="80"/>
      <c r="GR14" s="80"/>
      <c r="GS14" s="80"/>
      <c r="GT14" s="80"/>
      <c r="GU14" s="80"/>
      <c r="GV14" s="80"/>
      <c r="GW14" s="80"/>
      <c r="GX14" s="80"/>
      <c r="GY14" s="80"/>
      <c r="GZ14" s="80"/>
      <c r="HA14" s="80"/>
      <c r="HB14" s="80"/>
      <c r="HC14" s="80"/>
      <c r="HD14" s="80"/>
      <c r="HE14" s="80"/>
      <c r="HF14" s="80"/>
      <c r="HG14" s="80"/>
    </row>
    <row r="15" spans="1:215" ht="36" customHeight="1">
      <c r="A15" s="5"/>
      <c r="B15" s="135" t="s">
        <v>21</v>
      </c>
      <c r="C15" s="136"/>
      <c r="D15" s="137"/>
      <c r="E15" s="77">
        <f>70474351-E20+61200+2328</f>
        <v>69043603</v>
      </c>
      <c r="F15" s="77">
        <f>69247623-157654+2328</f>
        <v>69092297</v>
      </c>
      <c r="G15" s="77">
        <f>70223244+2328</f>
        <v>70225572</v>
      </c>
      <c r="H15" s="77">
        <f>G15*1.01</f>
        <v>70927827.719999999</v>
      </c>
      <c r="I15" s="77">
        <f>H15*1.01-46.8</f>
        <v>71637059.1972</v>
      </c>
      <c r="J15" s="77">
        <f>I15*1.01-23.27</f>
        <v>72353406.519171998</v>
      </c>
      <c r="K15" s="77">
        <f>J15*1.015-34.93</f>
        <v>73438672.686959565</v>
      </c>
      <c r="L15" s="77">
        <f>K15*1.01-23.27</f>
        <v>74173036.143829167</v>
      </c>
      <c r="M15" s="77">
        <f>L15*1.02-46.57</f>
        <v>75656450.296705753</v>
      </c>
      <c r="N15" s="77">
        <f>M15*1.02-46.56</f>
        <v>77169532.742639869</v>
      </c>
      <c r="O15" s="77">
        <f>N15*1.02-46.55</f>
        <v>78712876.847492665</v>
      </c>
      <c r="P15" s="77">
        <f>O15*1.02-46.57</f>
        <v>80287087.81444253</v>
      </c>
      <c r="Q15" s="77">
        <f>P15*1.02-46.55</f>
        <v>81892783.02073139</v>
      </c>
      <c r="R15" s="77">
        <f>Q15*1.02-46.56</f>
        <v>83530592.121146023</v>
      </c>
      <c r="S15" s="77">
        <f>R15*1.02-46.57</f>
        <v>85201157.393568948</v>
      </c>
    </row>
    <row r="16" spans="1:215">
      <c r="A16" s="5"/>
      <c r="B16" s="135" t="s">
        <v>62</v>
      </c>
      <c r="C16" s="136"/>
      <c r="D16" s="137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</row>
    <row r="17" spans="1:19" ht="21" customHeight="1">
      <c r="A17" s="5"/>
      <c r="B17" s="159" t="s">
        <v>63</v>
      </c>
      <c r="C17" s="160"/>
      <c r="D17" s="161"/>
      <c r="E17" s="77">
        <v>0</v>
      </c>
      <c r="F17" s="77">
        <v>0</v>
      </c>
      <c r="G17" s="77">
        <v>0</v>
      </c>
      <c r="H17" s="77">
        <v>0</v>
      </c>
      <c r="I17" s="77">
        <v>0</v>
      </c>
      <c r="J17" s="77">
        <v>0</v>
      </c>
      <c r="K17" s="77">
        <v>0</v>
      </c>
      <c r="L17" s="77">
        <v>0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  <c r="R17" s="77">
        <v>0</v>
      </c>
      <c r="S17" s="77">
        <v>0</v>
      </c>
    </row>
    <row r="18" spans="1:19" ht="69.75" customHeight="1">
      <c r="A18" s="5"/>
      <c r="B18" s="159" t="s">
        <v>64</v>
      </c>
      <c r="C18" s="160"/>
      <c r="D18" s="161"/>
      <c r="E18" s="77">
        <v>0</v>
      </c>
      <c r="F18" s="77">
        <v>0</v>
      </c>
      <c r="G18" s="77">
        <v>0</v>
      </c>
      <c r="H18" s="77">
        <v>0</v>
      </c>
      <c r="I18" s="77">
        <v>0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  <c r="R18" s="77">
        <v>0</v>
      </c>
      <c r="S18" s="77">
        <v>0</v>
      </c>
    </row>
    <row r="19" spans="1:19" ht="61.5" customHeight="1">
      <c r="A19" s="5"/>
      <c r="B19" s="159" t="s">
        <v>65</v>
      </c>
      <c r="C19" s="160"/>
      <c r="D19" s="161"/>
      <c r="E19" s="77">
        <f>Przedsięwzięcia!G14</f>
        <v>4098010</v>
      </c>
      <c r="F19" s="77">
        <f>Przedsięwzięcia!H14</f>
        <v>1244598</v>
      </c>
      <c r="G19" s="77">
        <f>Przedsięwzięcia!I14</f>
        <v>542640</v>
      </c>
      <c r="H19" s="77">
        <f>Przedsięwzięcia!J14</f>
        <v>0</v>
      </c>
      <c r="I19" s="77">
        <f>Przedsięwzięcia!K14</f>
        <v>0</v>
      </c>
      <c r="J19" s="77">
        <f>Przedsięwzięcia!L14</f>
        <v>0</v>
      </c>
      <c r="K19" s="77">
        <f>Przedsięwzięcia!Q14</f>
        <v>0</v>
      </c>
      <c r="L19" s="77">
        <f>Przedsięwzięcia!R14</f>
        <v>0</v>
      </c>
      <c r="M19" s="77">
        <f>Przedsięwzięcia!S14</f>
        <v>0</v>
      </c>
      <c r="N19" s="77">
        <f>Przedsięwzięcia!T14</f>
        <v>0</v>
      </c>
      <c r="O19" s="77">
        <f>Przedsięwzięcia!U14</f>
        <v>0</v>
      </c>
      <c r="P19" s="77">
        <f>Przedsięwzięcia!V14</f>
        <v>0</v>
      </c>
      <c r="Q19" s="77">
        <f>Przedsięwzięcia!W14</f>
        <v>0</v>
      </c>
      <c r="R19" s="77">
        <f>Przedsięwzięcia!X14</f>
        <v>0</v>
      </c>
      <c r="S19" s="77">
        <f>Przedsięwzięcia!Y14</f>
        <v>0</v>
      </c>
    </row>
    <row r="20" spans="1:19" ht="21" customHeight="1">
      <c r="A20" s="5"/>
      <c r="B20" s="135" t="s">
        <v>66</v>
      </c>
      <c r="C20" s="136"/>
      <c r="D20" s="137"/>
      <c r="E20" s="77">
        <f>E22</f>
        <v>1494276</v>
      </c>
      <c r="F20" s="77">
        <v>1513967</v>
      </c>
      <c r="G20" s="77">
        <v>1446953</v>
      </c>
      <c r="H20" s="77">
        <v>1402185</v>
      </c>
      <c r="I20" s="77">
        <v>1360590</v>
      </c>
      <c r="J20" s="77">
        <v>1198016</v>
      </c>
      <c r="K20" s="77">
        <v>1035442</v>
      </c>
      <c r="L20" s="77">
        <v>892405</v>
      </c>
      <c r="M20" s="77">
        <v>729192</v>
      </c>
      <c r="N20" s="77">
        <v>607660</v>
      </c>
      <c r="O20" s="77">
        <v>486128</v>
      </c>
      <c r="P20" s="77">
        <v>364596</v>
      </c>
      <c r="Q20" s="77">
        <v>243064</v>
      </c>
      <c r="R20" s="77">
        <v>121532</v>
      </c>
      <c r="S20" s="77">
        <v>0</v>
      </c>
    </row>
    <row r="21" spans="1:19">
      <c r="A21" s="6"/>
      <c r="B21" s="135" t="s">
        <v>67</v>
      </c>
      <c r="C21" s="136"/>
      <c r="D21" s="137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</row>
    <row r="22" spans="1:19" ht="14.25" customHeight="1">
      <c r="A22" s="6"/>
      <c r="B22" s="168" t="s">
        <v>68</v>
      </c>
      <c r="C22" s="169"/>
      <c r="D22" s="170"/>
      <c r="E22" s="78">
        <v>1494276</v>
      </c>
      <c r="F22" s="78">
        <v>1501800</v>
      </c>
      <c r="G22" s="78">
        <v>1446953</v>
      </c>
      <c r="H22" s="78">
        <v>1402184</v>
      </c>
      <c r="I22" s="78">
        <v>1360590</v>
      </c>
      <c r="J22" s="78">
        <f t="shared" ref="J22:R22" si="7">J20</f>
        <v>1198016</v>
      </c>
      <c r="K22" s="78">
        <f t="shared" si="7"/>
        <v>1035442</v>
      </c>
      <c r="L22" s="78">
        <f t="shared" si="7"/>
        <v>892405</v>
      </c>
      <c r="M22" s="78">
        <f t="shared" si="7"/>
        <v>729192</v>
      </c>
      <c r="N22" s="78">
        <f t="shared" si="7"/>
        <v>607660</v>
      </c>
      <c r="O22" s="78">
        <f>O20</f>
        <v>486128</v>
      </c>
      <c r="P22" s="78">
        <f t="shared" si="7"/>
        <v>364596</v>
      </c>
      <c r="Q22" s="78">
        <f t="shared" si="7"/>
        <v>243064</v>
      </c>
      <c r="R22" s="78">
        <f t="shared" si="7"/>
        <v>121532</v>
      </c>
      <c r="S22" s="78">
        <v>29885</v>
      </c>
    </row>
    <row r="23" spans="1:19" ht="21" customHeight="1">
      <c r="A23" s="5"/>
      <c r="B23" s="135" t="s">
        <v>22</v>
      </c>
      <c r="C23" s="136"/>
      <c r="D23" s="137"/>
      <c r="E23" s="77">
        <f>3725167+100000+'[2]Zał.2 zw.wydatk'!$M$14</f>
        <v>6312757</v>
      </c>
      <c r="F23" s="77">
        <v>8538365</v>
      </c>
      <c r="G23" s="77">
        <v>8697677</v>
      </c>
      <c r="H23" s="77">
        <v>9854224.5600000005</v>
      </c>
      <c r="I23" s="77">
        <v>9860559.8000000007</v>
      </c>
      <c r="J23" s="77">
        <v>8996622.4800000004</v>
      </c>
      <c r="K23" s="77">
        <v>8282193.3099999996</v>
      </c>
      <c r="L23" s="77">
        <f>8947433.93</f>
        <v>8947433.9299999997</v>
      </c>
      <c r="M23" s="77">
        <v>9647486.3699999992</v>
      </c>
      <c r="N23" s="77">
        <v>9550040.8300000001</v>
      </c>
      <c r="O23" s="77">
        <v>9441501.7699999996</v>
      </c>
      <c r="P23" s="77">
        <v>9321548.8300000001</v>
      </c>
      <c r="Q23" s="77">
        <v>9189853.5899999999</v>
      </c>
      <c r="R23" s="77">
        <v>9046081.3300000001</v>
      </c>
      <c r="S23" s="77">
        <v>8889886.8100000005</v>
      </c>
    </row>
    <row r="24" spans="1:19">
      <c r="A24" s="5"/>
      <c r="B24" s="135" t="s">
        <v>59</v>
      </c>
      <c r="C24" s="136"/>
      <c r="D24" s="13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</row>
    <row r="25" spans="1:19" ht="41.25" customHeight="1" thickBot="1">
      <c r="A25" s="5"/>
      <c r="B25" s="162" t="s">
        <v>65</v>
      </c>
      <c r="C25" s="163"/>
      <c r="D25" s="164"/>
      <c r="E25" s="77">
        <f>Przedsięwzięcia!G15</f>
        <v>1110000</v>
      </c>
      <c r="F25" s="77">
        <f>Przedsięwzięcia!H15</f>
        <v>0</v>
      </c>
      <c r="G25" s="77">
        <f>Przedsięwzięcia!I15</f>
        <v>780000</v>
      </c>
      <c r="H25" s="77">
        <f>Przedsięwzięcia!J15</f>
        <v>0</v>
      </c>
      <c r="I25" s="77">
        <f>Przedsięwzięcia!K15</f>
        <v>0</v>
      </c>
      <c r="J25" s="77">
        <f>Przedsięwzięcia!L15</f>
        <v>0</v>
      </c>
      <c r="K25" s="77">
        <f>Przedsięwzięcia!M15</f>
        <v>0</v>
      </c>
      <c r="L25" s="77">
        <f>Przedsięwzięcia!N15</f>
        <v>0</v>
      </c>
      <c r="M25" s="77">
        <f>Przedsięwzięcia!O9</f>
        <v>0</v>
      </c>
      <c r="N25" s="77">
        <f>Przedsięwzięcia!P9</f>
        <v>0</v>
      </c>
      <c r="O25" s="77">
        <f>Przedsięwzięcia!U15</f>
        <v>0</v>
      </c>
      <c r="P25" s="77">
        <f>Przedsięwzięcia!V15</f>
        <v>0</v>
      </c>
      <c r="Q25" s="77">
        <f>Przedsięwzięcia!W15</f>
        <v>0</v>
      </c>
      <c r="R25" s="77">
        <f>Przedsięwzięcia!X15</f>
        <v>0</v>
      </c>
      <c r="S25" s="77">
        <f>Przedsięwzięcia!Y15</f>
        <v>0</v>
      </c>
    </row>
    <row r="26" spans="1:19" s="106" customFormat="1" ht="21" customHeight="1" thickBot="1">
      <c r="A26" s="104" t="s">
        <v>9</v>
      </c>
      <c r="B26" s="149" t="s">
        <v>120</v>
      </c>
      <c r="C26" s="150"/>
      <c r="D26" s="151"/>
      <c r="E26" s="105">
        <f t="shared" ref="E26:Q26" si="8">(E5+E28)-(E13+E35)</f>
        <v>0</v>
      </c>
      <c r="F26" s="105">
        <f t="shared" si="8"/>
        <v>0</v>
      </c>
      <c r="G26" s="105">
        <f t="shared" si="8"/>
        <v>0</v>
      </c>
      <c r="H26" s="105">
        <f t="shared" si="8"/>
        <v>0</v>
      </c>
      <c r="I26" s="105">
        <f t="shared" si="8"/>
        <v>2.8000026941299438E-3</v>
      </c>
      <c r="J26" s="105">
        <f t="shared" si="8"/>
        <v>8.2799792289733887E-4</v>
      </c>
      <c r="K26" s="105">
        <f t="shared" si="8"/>
        <v>3.0404329299926758E-3</v>
      </c>
      <c r="L26" s="105">
        <f t="shared" si="8"/>
        <v>-3.8291811943054199E-3</v>
      </c>
      <c r="M26" s="105">
        <f t="shared" si="8"/>
        <v>3.9942413568496704E-3</v>
      </c>
      <c r="N26" s="105">
        <f t="shared" si="8"/>
        <v>4.7671347856521606E-3</v>
      </c>
      <c r="O26" s="105">
        <f t="shared" si="8"/>
        <v>-4.3115913867950439E-3</v>
      </c>
      <c r="P26" s="105">
        <f t="shared" si="8"/>
        <v>4.8703551292419434E-3</v>
      </c>
      <c r="Q26" s="105">
        <f t="shared" si="8"/>
        <v>-4.9253851175308228E-3</v>
      </c>
      <c r="R26" s="105">
        <f t="shared" ref="R26:S26" si="9">(R5+R28)-(R13+R35)</f>
        <v>7.1804225444793701E-4</v>
      </c>
      <c r="S26" s="105">
        <f t="shared" si="9"/>
        <v>2.8137564659118652E-3</v>
      </c>
    </row>
    <row r="27" spans="1:19" ht="21" customHeight="1" thickBot="1">
      <c r="A27" s="7" t="s">
        <v>10</v>
      </c>
      <c r="B27" s="187" t="s">
        <v>23</v>
      </c>
      <c r="C27" s="188"/>
      <c r="D27" s="189"/>
      <c r="E27" s="83">
        <f>E6-E14</f>
        <v>2920703</v>
      </c>
      <c r="F27" s="83">
        <f t="shared" ref="F27:L27" si="10">F6-F14</f>
        <v>3470882</v>
      </c>
      <c r="G27" s="83">
        <f t="shared" si="10"/>
        <v>3886163</v>
      </c>
      <c r="H27" s="83">
        <f t="shared" si="10"/>
        <v>4739872.5600000024</v>
      </c>
      <c r="I27" s="83">
        <f t="shared" si="10"/>
        <v>5228260.8027999997</v>
      </c>
      <c r="J27" s="83">
        <f t="shared" si="10"/>
        <v>5847877.4808280021</v>
      </c>
      <c r="K27" s="83">
        <f t="shared" si="10"/>
        <v>6116174.3130404353</v>
      </c>
      <c r="L27" s="83">
        <f t="shared" si="10"/>
        <v>6733701.8561708331</v>
      </c>
      <c r="M27" s="83">
        <f t="shared" ref="M27:S27" si="11">M6-M14</f>
        <v>6640487.7032942474</v>
      </c>
      <c r="N27" s="83">
        <f t="shared" si="11"/>
        <v>6494329.2573601305</v>
      </c>
      <c r="O27" s="83">
        <f t="shared" si="11"/>
        <v>6336590.1525073349</v>
      </c>
      <c r="P27" s="83">
        <f t="shared" si="11"/>
        <v>6166945.1855574697</v>
      </c>
      <c r="Q27" s="83">
        <f t="shared" si="11"/>
        <v>5985060.9792686105</v>
      </c>
      <c r="R27" s="83">
        <f t="shared" si="11"/>
        <v>5790597.8788539767</v>
      </c>
      <c r="S27" s="83">
        <f t="shared" si="11"/>
        <v>5583205.6064310521</v>
      </c>
    </row>
    <row r="28" spans="1:19" s="108" customFormat="1" ht="21" customHeight="1">
      <c r="A28" s="2" t="s">
        <v>122</v>
      </c>
      <c r="B28" s="153" t="s">
        <v>0</v>
      </c>
      <c r="C28" s="154"/>
      <c r="D28" s="155"/>
      <c r="E28" s="107">
        <f>E29+E31+E33</f>
        <v>20135708</v>
      </c>
      <c r="F28" s="107">
        <f t="shared" ref="F28:L28" si="12">F29+F31+F33</f>
        <v>135708</v>
      </c>
      <c r="G28" s="107">
        <f t="shared" si="12"/>
        <v>135708</v>
      </c>
      <c r="H28" s="107">
        <f t="shared" si="12"/>
        <v>135708</v>
      </c>
      <c r="I28" s="107">
        <f t="shared" si="12"/>
        <v>135708</v>
      </c>
      <c r="J28" s="107">
        <f t="shared" si="12"/>
        <v>135708</v>
      </c>
      <c r="K28" s="107">
        <f t="shared" si="12"/>
        <v>135708</v>
      </c>
      <c r="L28" s="107">
        <f t="shared" si="12"/>
        <v>135708</v>
      </c>
      <c r="M28" s="107">
        <f t="shared" ref="M28:S28" si="13">M29+M31+M33</f>
        <v>135708</v>
      </c>
      <c r="N28" s="107">
        <f t="shared" si="13"/>
        <v>135708</v>
      </c>
      <c r="O28" s="107">
        <f t="shared" si="13"/>
        <v>135708</v>
      </c>
      <c r="P28" s="107">
        <f t="shared" si="13"/>
        <v>135708</v>
      </c>
      <c r="Q28" s="107">
        <f t="shared" si="13"/>
        <v>135708</v>
      </c>
      <c r="R28" s="107">
        <f t="shared" si="13"/>
        <v>135708</v>
      </c>
      <c r="S28" s="107">
        <f t="shared" si="13"/>
        <v>135708</v>
      </c>
    </row>
    <row r="29" spans="1:19" ht="101.25" customHeight="1">
      <c r="A29" s="3"/>
      <c r="B29" s="135" t="s">
        <v>24</v>
      </c>
      <c r="C29" s="136"/>
      <c r="D29" s="137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</row>
    <row r="30" spans="1:19" ht="21" customHeight="1">
      <c r="A30" s="3"/>
      <c r="B30" s="165" t="s">
        <v>25</v>
      </c>
      <c r="C30" s="166"/>
      <c r="D30" s="16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</row>
    <row r="31" spans="1:19" ht="40.5" customHeight="1">
      <c r="A31" s="3"/>
      <c r="B31" s="135" t="s">
        <v>26</v>
      </c>
      <c r="C31" s="136"/>
      <c r="D31" s="137"/>
      <c r="E31" s="81">
        <v>20000000</v>
      </c>
      <c r="F31" s="81">
        <v>0</v>
      </c>
      <c r="G31" s="81">
        <v>0</v>
      </c>
      <c r="H31" s="81">
        <v>0</v>
      </c>
      <c r="I31" s="81">
        <v>0</v>
      </c>
      <c r="J31" s="81">
        <v>0</v>
      </c>
      <c r="K31" s="81">
        <v>0</v>
      </c>
      <c r="L31" s="81">
        <v>0</v>
      </c>
      <c r="M31" s="81">
        <v>0</v>
      </c>
      <c r="N31" s="81">
        <v>0</v>
      </c>
      <c r="O31" s="81">
        <v>0</v>
      </c>
      <c r="P31" s="81">
        <v>0</v>
      </c>
      <c r="Q31" s="81">
        <v>0</v>
      </c>
      <c r="R31" s="81">
        <v>0</v>
      </c>
      <c r="S31" s="81">
        <v>0</v>
      </c>
    </row>
    <row r="32" spans="1:19" ht="21" customHeight="1">
      <c r="A32" s="3"/>
      <c r="B32" s="168" t="s">
        <v>27</v>
      </c>
      <c r="C32" s="169"/>
      <c r="D32" s="170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</row>
    <row r="33" spans="1:215" ht="36" customHeight="1">
      <c r="A33" s="3"/>
      <c r="B33" s="135" t="s">
        <v>28</v>
      </c>
      <c r="C33" s="136"/>
      <c r="D33" s="137"/>
      <c r="E33" s="94">
        <v>135708</v>
      </c>
      <c r="F33" s="94">
        <v>135708</v>
      </c>
      <c r="G33" s="94">
        <v>135708</v>
      </c>
      <c r="H33" s="94">
        <v>135708</v>
      </c>
      <c r="I33" s="94">
        <v>135708</v>
      </c>
      <c r="J33" s="94">
        <v>135708</v>
      </c>
      <c r="K33" s="94">
        <v>135708</v>
      </c>
      <c r="L33" s="94">
        <v>135708</v>
      </c>
      <c r="M33" s="94">
        <v>135708</v>
      </c>
      <c r="N33" s="94">
        <v>135708</v>
      </c>
      <c r="O33" s="94">
        <v>135708</v>
      </c>
      <c r="P33" s="94">
        <v>135708</v>
      </c>
      <c r="Q33" s="94">
        <v>135708</v>
      </c>
      <c r="R33" s="94">
        <v>135708</v>
      </c>
      <c r="S33" s="94">
        <v>135708</v>
      </c>
    </row>
    <row r="34" spans="1:215" ht="21" customHeight="1" thickBot="1">
      <c r="A34" s="4"/>
      <c r="B34" s="184" t="s">
        <v>27</v>
      </c>
      <c r="C34" s="185"/>
      <c r="D34" s="186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</row>
    <row r="35" spans="1:215" ht="21" customHeight="1">
      <c r="A35" s="8" t="s">
        <v>6</v>
      </c>
      <c r="B35" s="174" t="s">
        <v>29</v>
      </c>
      <c r="C35" s="175"/>
      <c r="D35" s="176"/>
      <c r="E35" s="111">
        <f>E36</f>
        <v>21398528</v>
      </c>
      <c r="F35" s="93">
        <f t="shared" ref="F35:S35" si="14">F36</f>
        <v>757677</v>
      </c>
      <c r="G35" s="93">
        <f t="shared" si="14"/>
        <v>1030714</v>
      </c>
      <c r="H35" s="93">
        <f t="shared" si="14"/>
        <v>744996</v>
      </c>
      <c r="I35" s="93">
        <f t="shared" si="14"/>
        <v>744996</v>
      </c>
      <c r="J35" s="93">
        <f t="shared" si="14"/>
        <v>2744996</v>
      </c>
      <c r="K35" s="93">
        <f t="shared" si="14"/>
        <v>2744996</v>
      </c>
      <c r="L35" s="93">
        <f t="shared" si="14"/>
        <v>2745036</v>
      </c>
      <c r="M35" s="93">
        <f t="shared" si="14"/>
        <v>2000000</v>
      </c>
      <c r="N35" s="93">
        <f t="shared" si="14"/>
        <v>2000000</v>
      </c>
      <c r="O35" s="93">
        <f t="shared" si="14"/>
        <v>2000000</v>
      </c>
      <c r="P35" s="93">
        <f t="shared" si="14"/>
        <v>2000000</v>
      </c>
      <c r="Q35" s="93">
        <f t="shared" si="14"/>
        <v>2000000</v>
      </c>
      <c r="R35" s="93">
        <f t="shared" si="14"/>
        <v>2000000</v>
      </c>
      <c r="S35" s="93">
        <f t="shared" si="14"/>
        <v>2000000</v>
      </c>
    </row>
    <row r="36" spans="1:215" ht="46.5" customHeight="1">
      <c r="A36" s="3"/>
      <c r="B36" s="135" t="s">
        <v>30</v>
      </c>
      <c r="C36" s="136"/>
      <c r="D36" s="137"/>
      <c r="E36" s="77">
        <v>21398528</v>
      </c>
      <c r="F36" s="85">
        <v>757677</v>
      </c>
      <c r="G36" s="85">
        <v>1030714</v>
      </c>
      <c r="H36" s="85">
        <v>744996</v>
      </c>
      <c r="I36" s="85">
        <v>744996</v>
      </c>
      <c r="J36" s="85">
        <v>2744996</v>
      </c>
      <c r="K36" s="85">
        <v>2744996</v>
      </c>
      <c r="L36" s="85">
        <v>2745036</v>
      </c>
      <c r="M36" s="85">
        <v>2000000</v>
      </c>
      <c r="N36" s="85">
        <v>2000000</v>
      </c>
      <c r="O36" s="85">
        <v>2000000</v>
      </c>
      <c r="P36" s="85">
        <v>2000000</v>
      </c>
      <c r="Q36" s="85">
        <v>2000000</v>
      </c>
      <c r="R36" s="85">
        <v>2000000</v>
      </c>
      <c r="S36" s="85">
        <v>2000000</v>
      </c>
    </row>
    <row r="37" spans="1:215" ht="69.75" customHeight="1">
      <c r="A37" s="3"/>
      <c r="B37" s="168" t="s">
        <v>31</v>
      </c>
      <c r="C37" s="169"/>
      <c r="D37" s="170"/>
      <c r="E37" s="85">
        <v>0</v>
      </c>
      <c r="F37" s="85">
        <v>0</v>
      </c>
      <c r="G37" s="85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</row>
    <row r="38" spans="1:215" ht="31.5" customHeight="1" thickBot="1">
      <c r="A38" s="4"/>
      <c r="B38" s="178" t="s">
        <v>32</v>
      </c>
      <c r="C38" s="179"/>
      <c r="D38" s="180"/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6">
        <v>0</v>
      </c>
      <c r="K38" s="96">
        <v>0</v>
      </c>
      <c r="L38" s="96">
        <v>0</v>
      </c>
      <c r="M38" s="96">
        <v>0</v>
      </c>
      <c r="N38" s="96">
        <v>0</v>
      </c>
      <c r="O38" s="96">
        <v>0</v>
      </c>
      <c r="P38" s="96">
        <v>0</v>
      </c>
      <c r="Q38" s="96">
        <v>0</v>
      </c>
      <c r="R38" s="96">
        <v>0</v>
      </c>
      <c r="S38" s="96">
        <v>0</v>
      </c>
    </row>
    <row r="39" spans="1:215" ht="21" customHeight="1">
      <c r="A39" s="8" t="s">
        <v>11</v>
      </c>
      <c r="B39" s="174" t="s">
        <v>33</v>
      </c>
      <c r="C39" s="175"/>
      <c r="D39" s="176"/>
      <c r="E39" s="93">
        <f>(26911939+E31)-E36</f>
        <v>25513411</v>
      </c>
      <c r="F39" s="93">
        <f>(E39+F31)-F36</f>
        <v>24755734</v>
      </c>
      <c r="G39" s="93">
        <f t="shared" ref="G39:S39" si="15">(F39+G31)-G36</f>
        <v>23725020</v>
      </c>
      <c r="H39" s="93">
        <f t="shared" si="15"/>
        <v>22980024</v>
      </c>
      <c r="I39" s="93">
        <f t="shared" si="15"/>
        <v>22235028</v>
      </c>
      <c r="J39" s="93">
        <f t="shared" si="15"/>
        <v>19490032</v>
      </c>
      <c r="K39" s="93">
        <f t="shared" si="15"/>
        <v>16745036</v>
      </c>
      <c r="L39" s="93">
        <f t="shared" si="15"/>
        <v>14000000</v>
      </c>
      <c r="M39" s="93">
        <f t="shared" si="15"/>
        <v>12000000</v>
      </c>
      <c r="N39" s="93">
        <f t="shared" si="15"/>
        <v>10000000</v>
      </c>
      <c r="O39" s="93">
        <f t="shared" si="15"/>
        <v>8000000</v>
      </c>
      <c r="P39" s="93">
        <f t="shared" si="15"/>
        <v>6000000</v>
      </c>
      <c r="Q39" s="93">
        <f t="shared" si="15"/>
        <v>4000000</v>
      </c>
      <c r="R39" s="93">
        <f t="shared" si="15"/>
        <v>2000000</v>
      </c>
      <c r="S39" s="111">
        <f t="shared" si="15"/>
        <v>0</v>
      </c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0"/>
      <c r="BI39" s="80"/>
      <c r="BJ39" s="80"/>
      <c r="BK39" s="80"/>
      <c r="BL39" s="80"/>
      <c r="BM39" s="80"/>
      <c r="BN39" s="80"/>
      <c r="BO39" s="80"/>
      <c r="BP39" s="80"/>
      <c r="BQ39" s="80"/>
      <c r="BR39" s="80"/>
      <c r="BS39" s="80"/>
      <c r="BT39" s="80"/>
      <c r="BU39" s="80"/>
      <c r="BV39" s="80"/>
      <c r="BW39" s="80"/>
      <c r="BX39" s="80"/>
      <c r="BY39" s="80"/>
      <c r="BZ39" s="80"/>
      <c r="CA39" s="80"/>
      <c r="CB39" s="80"/>
      <c r="CC39" s="80"/>
      <c r="CD39" s="80"/>
      <c r="CE39" s="80"/>
      <c r="CF39" s="80"/>
      <c r="CG39" s="80"/>
      <c r="CH39" s="80"/>
      <c r="CI39" s="80"/>
      <c r="CJ39" s="80"/>
      <c r="CK39" s="80"/>
      <c r="CL39" s="80"/>
      <c r="CM39" s="80"/>
      <c r="CN39" s="80"/>
      <c r="CO39" s="80"/>
      <c r="CP39" s="80"/>
      <c r="CQ39" s="80"/>
      <c r="CR39" s="80"/>
      <c r="CS39" s="80"/>
      <c r="CT39" s="80"/>
      <c r="CU39" s="80"/>
      <c r="CV39" s="80"/>
      <c r="CW39" s="80"/>
      <c r="CX39" s="80"/>
      <c r="CY39" s="80"/>
      <c r="CZ39" s="80"/>
      <c r="DA39" s="80"/>
      <c r="DB39" s="80"/>
      <c r="DC39" s="80"/>
      <c r="DD39" s="80"/>
      <c r="DE39" s="80"/>
      <c r="DF39" s="80"/>
      <c r="DG39" s="80"/>
      <c r="DH39" s="80"/>
      <c r="DI39" s="80"/>
      <c r="DJ39" s="80"/>
      <c r="DK39" s="80"/>
      <c r="DL39" s="80"/>
      <c r="DM39" s="80"/>
      <c r="DN39" s="80"/>
      <c r="DO39" s="80"/>
      <c r="DP39" s="80"/>
      <c r="DQ39" s="80"/>
      <c r="DR39" s="80"/>
      <c r="DS39" s="80"/>
      <c r="DT39" s="80"/>
      <c r="DU39" s="80"/>
      <c r="DV39" s="80"/>
      <c r="DW39" s="80"/>
      <c r="DX39" s="80"/>
      <c r="DY39" s="80"/>
      <c r="DZ39" s="80"/>
      <c r="EA39" s="80"/>
      <c r="EB39" s="80"/>
      <c r="EC39" s="80"/>
      <c r="ED39" s="80"/>
      <c r="EE39" s="80"/>
      <c r="EF39" s="80"/>
      <c r="EG39" s="80"/>
      <c r="EH39" s="80"/>
      <c r="EI39" s="80"/>
      <c r="EJ39" s="80"/>
      <c r="EK39" s="80"/>
      <c r="EL39" s="80"/>
      <c r="EM39" s="80"/>
      <c r="EN39" s="80"/>
      <c r="EO39" s="80"/>
      <c r="EP39" s="80"/>
      <c r="EQ39" s="80"/>
      <c r="ER39" s="80"/>
      <c r="ES39" s="80"/>
      <c r="ET39" s="80"/>
      <c r="EU39" s="80"/>
      <c r="EV39" s="80"/>
      <c r="EW39" s="80"/>
      <c r="EX39" s="80"/>
      <c r="EY39" s="80"/>
      <c r="EZ39" s="80"/>
      <c r="FA39" s="80"/>
      <c r="FB39" s="80"/>
      <c r="FC39" s="80"/>
      <c r="FD39" s="80"/>
      <c r="FE39" s="80"/>
      <c r="FF39" s="80"/>
      <c r="FG39" s="80"/>
      <c r="FH39" s="80"/>
      <c r="FI39" s="80"/>
      <c r="FJ39" s="80"/>
      <c r="FK39" s="80"/>
      <c r="FL39" s="80"/>
      <c r="FM39" s="80"/>
      <c r="FN39" s="80"/>
      <c r="FO39" s="80"/>
      <c r="FP39" s="80"/>
      <c r="FQ39" s="80"/>
      <c r="FR39" s="80"/>
      <c r="FS39" s="80"/>
      <c r="FT39" s="80"/>
      <c r="FU39" s="80"/>
      <c r="FV39" s="80"/>
      <c r="FW39" s="80"/>
      <c r="FX39" s="80"/>
      <c r="FY39" s="80"/>
      <c r="FZ39" s="80"/>
      <c r="GA39" s="80"/>
      <c r="GB39" s="80"/>
      <c r="GC39" s="80"/>
      <c r="GD39" s="80"/>
      <c r="GE39" s="80"/>
      <c r="GF39" s="80"/>
      <c r="GG39" s="80"/>
      <c r="GH39" s="80"/>
      <c r="GI39" s="80"/>
      <c r="GJ39" s="80"/>
      <c r="GK39" s="80"/>
      <c r="GL39" s="80"/>
      <c r="GM39" s="80"/>
      <c r="GN39" s="80"/>
      <c r="GO39" s="80"/>
      <c r="GP39" s="80"/>
      <c r="GQ39" s="80"/>
      <c r="GR39" s="80"/>
      <c r="GS39" s="80"/>
      <c r="GT39" s="80"/>
      <c r="GU39" s="80"/>
      <c r="GV39" s="80"/>
      <c r="GW39" s="80"/>
      <c r="GX39" s="80"/>
      <c r="GY39" s="80"/>
      <c r="GZ39" s="80"/>
      <c r="HA39" s="80"/>
      <c r="HB39" s="80"/>
      <c r="HC39" s="80"/>
      <c r="HD39" s="80"/>
      <c r="HE39" s="80"/>
      <c r="HF39" s="80"/>
      <c r="HG39" s="80"/>
    </row>
    <row r="40" spans="1:215" ht="67.5" customHeight="1">
      <c r="A40" s="8"/>
      <c r="B40" s="181" t="s">
        <v>34</v>
      </c>
      <c r="C40" s="182"/>
      <c r="D40" s="183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0"/>
      <c r="AS40" s="80"/>
      <c r="AT40" s="80"/>
      <c r="AU40" s="80"/>
      <c r="AV40" s="80"/>
      <c r="AW40" s="80"/>
      <c r="AX40" s="80"/>
      <c r="AY40" s="80"/>
      <c r="AZ40" s="80"/>
      <c r="BA40" s="80"/>
      <c r="BB40" s="80"/>
      <c r="BC40" s="80"/>
      <c r="BD40" s="80"/>
      <c r="BE40" s="80"/>
      <c r="BF40" s="80"/>
      <c r="BG40" s="80"/>
      <c r="BH40" s="80"/>
      <c r="BI40" s="80"/>
      <c r="BJ40" s="80"/>
      <c r="BK40" s="80"/>
      <c r="BL40" s="80"/>
      <c r="BM40" s="80"/>
      <c r="BN40" s="80"/>
      <c r="BO40" s="80"/>
      <c r="BP40" s="80"/>
      <c r="BQ40" s="80"/>
      <c r="BR40" s="80"/>
      <c r="BS40" s="80"/>
      <c r="BT40" s="80"/>
      <c r="BU40" s="80"/>
      <c r="BV40" s="80"/>
      <c r="BW40" s="80"/>
      <c r="BX40" s="80"/>
      <c r="BY40" s="80"/>
      <c r="BZ40" s="80"/>
      <c r="CA40" s="80"/>
      <c r="CB40" s="80"/>
      <c r="CC40" s="80"/>
      <c r="CD40" s="80"/>
      <c r="CE40" s="80"/>
      <c r="CF40" s="80"/>
      <c r="CG40" s="80"/>
      <c r="CH40" s="80"/>
      <c r="CI40" s="80"/>
      <c r="CJ40" s="80"/>
      <c r="CK40" s="80"/>
      <c r="CL40" s="80"/>
      <c r="CM40" s="80"/>
      <c r="CN40" s="80"/>
      <c r="CO40" s="80"/>
      <c r="CP40" s="80"/>
      <c r="CQ40" s="80"/>
      <c r="CR40" s="80"/>
      <c r="CS40" s="80"/>
      <c r="CT40" s="80"/>
      <c r="CU40" s="80"/>
      <c r="CV40" s="80"/>
      <c r="CW40" s="80"/>
      <c r="CX40" s="80"/>
      <c r="CY40" s="80"/>
      <c r="CZ40" s="80"/>
      <c r="DA40" s="80"/>
      <c r="DB40" s="80"/>
      <c r="DC40" s="80"/>
      <c r="DD40" s="80"/>
      <c r="DE40" s="80"/>
      <c r="DF40" s="80"/>
      <c r="DG40" s="80"/>
      <c r="DH40" s="80"/>
      <c r="DI40" s="80"/>
      <c r="DJ40" s="80"/>
      <c r="DK40" s="80"/>
      <c r="DL40" s="80"/>
      <c r="DM40" s="80"/>
      <c r="DN40" s="80"/>
      <c r="DO40" s="80"/>
      <c r="DP40" s="80"/>
      <c r="DQ40" s="80"/>
      <c r="DR40" s="80"/>
      <c r="DS40" s="80"/>
      <c r="DT40" s="80"/>
      <c r="DU40" s="80"/>
      <c r="DV40" s="80"/>
      <c r="DW40" s="80"/>
      <c r="DX40" s="80"/>
      <c r="DY40" s="80"/>
      <c r="DZ40" s="80"/>
      <c r="EA40" s="80"/>
      <c r="EB40" s="80"/>
      <c r="EC40" s="80"/>
      <c r="ED40" s="80"/>
      <c r="EE40" s="80"/>
      <c r="EF40" s="80"/>
      <c r="EG40" s="80"/>
      <c r="EH40" s="80"/>
      <c r="EI40" s="80"/>
      <c r="EJ40" s="80"/>
      <c r="EK40" s="80"/>
      <c r="EL40" s="80"/>
      <c r="EM40" s="80"/>
      <c r="EN40" s="80"/>
      <c r="EO40" s="80"/>
      <c r="EP40" s="80"/>
      <c r="EQ40" s="80"/>
      <c r="ER40" s="80"/>
      <c r="ES40" s="80"/>
      <c r="ET40" s="80"/>
      <c r="EU40" s="80"/>
      <c r="EV40" s="80"/>
      <c r="EW40" s="80"/>
      <c r="EX40" s="80"/>
      <c r="EY40" s="80"/>
      <c r="EZ40" s="80"/>
      <c r="FA40" s="80"/>
      <c r="FB40" s="80"/>
      <c r="FC40" s="80"/>
      <c r="FD40" s="80"/>
      <c r="FE40" s="80"/>
      <c r="FF40" s="80"/>
      <c r="FG40" s="80"/>
      <c r="FH40" s="80"/>
      <c r="FI40" s="80"/>
      <c r="FJ40" s="80"/>
      <c r="FK40" s="80"/>
      <c r="FL40" s="80"/>
      <c r="FM40" s="80"/>
      <c r="FN40" s="80"/>
      <c r="FO40" s="80"/>
      <c r="FP40" s="80"/>
      <c r="FQ40" s="80"/>
      <c r="FR40" s="80"/>
      <c r="FS40" s="80"/>
      <c r="FT40" s="80"/>
      <c r="FU40" s="80"/>
      <c r="FV40" s="80"/>
      <c r="FW40" s="80"/>
      <c r="FX40" s="80"/>
      <c r="FY40" s="80"/>
      <c r="FZ40" s="80"/>
      <c r="GA40" s="80"/>
      <c r="GB40" s="80"/>
      <c r="GC40" s="80"/>
      <c r="GD40" s="80"/>
      <c r="GE40" s="80"/>
      <c r="GF40" s="80"/>
      <c r="GG40" s="80"/>
      <c r="GH40" s="80"/>
      <c r="GI40" s="80"/>
      <c r="GJ40" s="80"/>
      <c r="GK40" s="80"/>
      <c r="GL40" s="80"/>
      <c r="GM40" s="80"/>
      <c r="GN40" s="80"/>
      <c r="GO40" s="80"/>
      <c r="GP40" s="80"/>
      <c r="GQ40" s="80"/>
      <c r="GR40" s="80"/>
      <c r="GS40" s="80"/>
      <c r="GT40" s="80"/>
      <c r="GU40" s="80"/>
      <c r="GV40" s="80"/>
      <c r="GW40" s="80"/>
      <c r="GX40" s="80"/>
      <c r="GY40" s="80"/>
      <c r="GZ40" s="80"/>
      <c r="HA40" s="80"/>
      <c r="HB40" s="80"/>
      <c r="HC40" s="80"/>
      <c r="HD40" s="80"/>
      <c r="HE40" s="80"/>
      <c r="HF40" s="80"/>
      <c r="HG40" s="80"/>
    </row>
    <row r="41" spans="1:215" ht="21" customHeight="1">
      <c r="A41" s="5" t="s">
        <v>12</v>
      </c>
      <c r="B41" s="128" t="s">
        <v>35</v>
      </c>
      <c r="C41" s="129"/>
      <c r="D41" s="130"/>
      <c r="E41" s="85">
        <v>0</v>
      </c>
      <c r="F41" s="85">
        <v>0</v>
      </c>
      <c r="G41" s="85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</row>
    <row r="42" spans="1:215" ht="44.25" customHeight="1">
      <c r="A42" s="9" t="s">
        <v>13</v>
      </c>
      <c r="B42" s="124" t="s">
        <v>36</v>
      </c>
      <c r="C42" s="124"/>
      <c r="D42" s="124"/>
      <c r="E42" s="94">
        <f>E39/E5</f>
        <v>0.32661992320503652</v>
      </c>
      <c r="F42" s="98">
        <f>F39/F5</f>
        <v>0.31035213511299553</v>
      </c>
      <c r="G42" s="98">
        <f t="shared" ref="G42:L42" si="16">G39/G5</f>
        <v>0.29194560112366907</v>
      </c>
      <c r="H42" s="98">
        <f t="shared" si="16"/>
        <v>0.27755830403212078</v>
      </c>
      <c r="I42" s="98">
        <f t="shared" si="16"/>
        <v>0.26639145534698377</v>
      </c>
      <c r="J42" s="98">
        <f t="shared" si="16"/>
        <v>0.22887085954183181</v>
      </c>
      <c r="K42" s="98">
        <f t="shared" si="16"/>
        <v>0.19615672805705006</v>
      </c>
      <c r="L42" s="98">
        <f t="shared" si="16"/>
        <v>0.16162138001369586</v>
      </c>
      <c r="M42" s="98">
        <f t="shared" ref="M42:S42" si="17">M39/M5</f>
        <v>0.13652277744254807</v>
      </c>
      <c r="N42" s="98">
        <f t="shared" si="17"/>
        <v>0.11211827508568917</v>
      </c>
      <c r="O42" s="98">
        <f t="shared" si="17"/>
        <v>8.8393103156796424E-2</v>
      </c>
      <c r="P42" s="98">
        <f t="shared" si="17"/>
        <v>6.5332771358019084E-2</v>
      </c>
      <c r="Q42" s="98">
        <f t="shared" si="17"/>
        <v>4.2923063819953436E-2</v>
      </c>
      <c r="R42" s="98">
        <f t="shared" si="17"/>
        <v>2.11500336168477E-2</v>
      </c>
      <c r="S42" s="98">
        <f t="shared" si="17"/>
        <v>0</v>
      </c>
    </row>
    <row r="43" spans="1:215" ht="57" customHeight="1">
      <c r="A43" s="9" t="s">
        <v>37</v>
      </c>
      <c r="B43" s="124" t="s">
        <v>38</v>
      </c>
      <c r="C43" s="124"/>
      <c r="D43" s="124"/>
      <c r="E43" s="113">
        <f>E39/E5</f>
        <v>0.32661992320503652</v>
      </c>
      <c r="F43" s="114">
        <f>F39/F5</f>
        <v>0.31035213511299553</v>
      </c>
      <c r="G43" s="114">
        <f t="shared" ref="G43:L43" si="18">G39/G5</f>
        <v>0.29194560112366907</v>
      </c>
      <c r="H43" s="114">
        <f t="shared" si="18"/>
        <v>0.27755830403212078</v>
      </c>
      <c r="I43" s="114">
        <f t="shared" si="18"/>
        <v>0.26639145534698377</v>
      </c>
      <c r="J43" s="114">
        <f t="shared" si="18"/>
        <v>0.22887085954183181</v>
      </c>
      <c r="K43" s="114">
        <f t="shared" si="18"/>
        <v>0.19615672805705006</v>
      </c>
      <c r="L43" s="114">
        <f t="shared" si="18"/>
        <v>0.16162138001369586</v>
      </c>
      <c r="M43" s="114">
        <f t="shared" ref="M43:S43" si="19">M39/M5</f>
        <v>0.13652277744254807</v>
      </c>
      <c r="N43" s="114">
        <f t="shared" si="19"/>
        <v>0.11211827508568917</v>
      </c>
      <c r="O43" s="114">
        <f t="shared" si="19"/>
        <v>8.8393103156796424E-2</v>
      </c>
      <c r="P43" s="114">
        <f t="shared" si="19"/>
        <v>6.5332771358019084E-2</v>
      </c>
      <c r="Q43" s="114">
        <f t="shared" si="19"/>
        <v>4.2923063819953436E-2</v>
      </c>
      <c r="R43" s="114">
        <f t="shared" si="19"/>
        <v>2.11500336168477E-2</v>
      </c>
      <c r="S43" s="114">
        <f t="shared" si="19"/>
        <v>0</v>
      </c>
    </row>
    <row r="44" spans="1:215" ht="54" customHeight="1">
      <c r="A44" s="9" t="s">
        <v>1</v>
      </c>
      <c r="B44" s="124" t="s">
        <v>39</v>
      </c>
      <c r="C44" s="124"/>
      <c r="D44" s="124"/>
      <c r="E44" s="113">
        <f>E46/E5</f>
        <v>0.29307119633779871</v>
      </c>
      <c r="F44" s="115">
        <f>F46/F5</f>
        <v>2.832610461837673E-2</v>
      </c>
      <c r="G44" s="115">
        <f t="shared" ref="G44:L44" si="20">G46/G5</f>
        <v>3.0488656350944183E-2</v>
      </c>
      <c r="H44" s="115">
        <f t="shared" si="20"/>
        <v>2.5934160871707058E-2</v>
      </c>
      <c r="I44" s="115">
        <f t="shared" si="20"/>
        <v>2.5226418374568006E-2</v>
      </c>
      <c r="J44" s="115">
        <f t="shared" si="20"/>
        <v>4.6302671315457941E-2</v>
      </c>
      <c r="K44" s="115">
        <f t="shared" si="20"/>
        <v>4.4285264522724119E-2</v>
      </c>
      <c r="L44" s="115">
        <f t="shared" si="20"/>
        <v>4.1992016724171272E-2</v>
      </c>
      <c r="M44" s="115">
        <f t="shared" ref="M44:S44" si="21">M46/M5</f>
        <v>3.1049739334498554E-2</v>
      </c>
      <c r="N44" s="115">
        <f t="shared" si="21"/>
        <v>2.9236634120994823E-2</v>
      </c>
      <c r="O44" s="115">
        <f t="shared" si="21"/>
        <v>2.7469571095624996E-2</v>
      </c>
      <c r="P44" s="115">
        <f t="shared" si="21"/>
        <v>2.5747601637014415E-2</v>
      </c>
      <c r="Q44" s="115">
        <f t="shared" si="21"/>
        <v>2.4069794806060009E-2</v>
      </c>
      <c r="R44" s="115">
        <f t="shared" si="21"/>
        <v>2.2435236559609068E-2</v>
      </c>
      <c r="S44" s="115">
        <f t="shared" si="21"/>
        <v>2.115447749184143E-2</v>
      </c>
    </row>
    <row r="45" spans="1:215" ht="81.75" customHeight="1">
      <c r="A45" s="9" t="s">
        <v>40</v>
      </c>
      <c r="B45" s="124" t="s">
        <v>41</v>
      </c>
      <c r="C45" s="124"/>
      <c r="D45" s="124"/>
      <c r="E45" s="113">
        <f>E46/E5</f>
        <v>0.29307119633779871</v>
      </c>
      <c r="F45" s="115">
        <f t="shared" ref="F45:L45" si="22">F46/F5</f>
        <v>2.832610461837673E-2</v>
      </c>
      <c r="G45" s="115">
        <f t="shared" si="22"/>
        <v>3.0488656350944183E-2</v>
      </c>
      <c r="H45" s="115">
        <f t="shared" si="22"/>
        <v>2.5934160871707058E-2</v>
      </c>
      <c r="I45" s="115">
        <f t="shared" si="22"/>
        <v>2.5226418374568006E-2</v>
      </c>
      <c r="J45" s="115">
        <f t="shared" si="22"/>
        <v>4.6302671315457941E-2</v>
      </c>
      <c r="K45" s="115">
        <f t="shared" si="22"/>
        <v>4.4285264522724119E-2</v>
      </c>
      <c r="L45" s="115">
        <f t="shared" si="22"/>
        <v>4.1992016724171272E-2</v>
      </c>
      <c r="M45" s="115">
        <f t="shared" ref="M45:S45" si="23">M46/M5</f>
        <v>3.1049739334498554E-2</v>
      </c>
      <c r="N45" s="115">
        <f t="shared" si="23"/>
        <v>2.9236634120994823E-2</v>
      </c>
      <c r="O45" s="115">
        <f t="shared" si="23"/>
        <v>2.7469571095624996E-2</v>
      </c>
      <c r="P45" s="115">
        <f t="shared" si="23"/>
        <v>2.5747601637014415E-2</v>
      </c>
      <c r="Q45" s="115">
        <f t="shared" si="23"/>
        <v>2.4069794806060009E-2</v>
      </c>
      <c r="R45" s="115">
        <f t="shared" si="23"/>
        <v>2.2435236559609068E-2</v>
      </c>
      <c r="S45" s="115">
        <f t="shared" si="23"/>
        <v>2.115447749184143E-2</v>
      </c>
    </row>
    <row r="46" spans="1:215" ht="126" customHeight="1">
      <c r="A46" s="5" t="s">
        <v>2</v>
      </c>
      <c r="B46" s="128" t="s">
        <v>42</v>
      </c>
      <c r="C46" s="129"/>
      <c r="D46" s="130"/>
      <c r="E46" s="94">
        <f>E36+E22</f>
        <v>22892804</v>
      </c>
      <c r="F46" s="94">
        <f t="shared" ref="F46:L46" si="24">F36+F22</f>
        <v>2259477</v>
      </c>
      <c r="G46" s="94">
        <f t="shared" si="24"/>
        <v>2477667</v>
      </c>
      <c r="H46" s="94">
        <f t="shared" si="24"/>
        <v>2147180</v>
      </c>
      <c r="I46" s="94">
        <f t="shared" si="24"/>
        <v>2105586</v>
      </c>
      <c r="J46" s="94">
        <f t="shared" si="24"/>
        <v>3943012</v>
      </c>
      <c r="K46" s="94">
        <f t="shared" si="24"/>
        <v>3780438</v>
      </c>
      <c r="L46" s="94">
        <f t="shared" si="24"/>
        <v>3637441</v>
      </c>
      <c r="M46" s="94">
        <f t="shared" ref="M46:S46" si="25">M36+M22</f>
        <v>2729192</v>
      </c>
      <c r="N46" s="94">
        <f t="shared" si="25"/>
        <v>2607660</v>
      </c>
      <c r="O46" s="94">
        <f t="shared" si="25"/>
        <v>2486128</v>
      </c>
      <c r="P46" s="94">
        <f t="shared" si="25"/>
        <v>2364596</v>
      </c>
      <c r="Q46" s="94">
        <f t="shared" si="25"/>
        <v>2243064</v>
      </c>
      <c r="R46" s="94">
        <f t="shared" si="25"/>
        <v>2121532</v>
      </c>
      <c r="S46" s="94">
        <f t="shared" si="25"/>
        <v>2029885</v>
      </c>
    </row>
    <row r="47" spans="1:215" s="82" customFormat="1" ht="48" customHeight="1">
      <c r="A47" s="53" t="s">
        <v>3</v>
      </c>
      <c r="B47" s="132" t="s">
        <v>43</v>
      </c>
      <c r="C47" s="133"/>
      <c r="D47" s="134"/>
      <c r="E47" s="116">
        <f>(6.42%+5.96%+5.32%)/3</f>
        <v>5.8999999999999997E-2</v>
      </c>
      <c r="F47" s="116">
        <f>(5.96%+5.32%+E52)/3</f>
        <v>6.0390367044230307E-2</v>
      </c>
      <c r="G47" s="116">
        <f>(5.32%+F52+E52)/3</f>
        <v>6.9654030510651832E-2</v>
      </c>
      <c r="H47" s="116">
        <f>(G52+F52+E52)/3</f>
        <v>6.9911844549184365E-2</v>
      </c>
      <c r="I47" s="116">
        <f t="shared" ref="I47:S47" si="26">(H52+G52+F52)/3</f>
        <v>6.821762810221553E-2</v>
      </c>
      <c r="J47" s="116">
        <f t="shared" si="26"/>
        <v>6.1963511300407649E-2</v>
      </c>
      <c r="K47" s="116">
        <f t="shared" si="26"/>
        <v>6.8820008702433433E-2</v>
      </c>
      <c r="L47" s="116">
        <f t="shared" si="26"/>
        <v>7.355852149439196E-2</v>
      </c>
      <c r="M47" s="116">
        <f t="shared" si="26"/>
        <v>7.8518519510777443E-2</v>
      </c>
      <c r="N47" s="116">
        <f t="shared" si="26"/>
        <v>8.0749741779888334E-2</v>
      </c>
      <c r="O47" s="116">
        <f t="shared" si="26"/>
        <v>8.1054816114554576E-2</v>
      </c>
      <c r="P47" s="116">
        <f t="shared" si="26"/>
        <v>7.8398080541527096E-2</v>
      </c>
      <c r="Q47" s="116">
        <f t="shared" si="26"/>
        <v>7.5517547135439678E-2</v>
      </c>
      <c r="R47" s="116">
        <f t="shared" si="26"/>
        <v>7.257436660233979E-2</v>
      </c>
      <c r="S47" s="116">
        <f t="shared" si="26"/>
        <v>6.9569283595673562E-2</v>
      </c>
    </row>
    <row r="48" spans="1:215" s="82" customFormat="1" ht="21" customHeight="1">
      <c r="A48" s="54" t="s">
        <v>4</v>
      </c>
      <c r="B48" s="131" t="s">
        <v>44</v>
      </c>
      <c r="C48" s="131"/>
      <c r="D48" s="131"/>
      <c r="E48" s="116">
        <f>E46/E5</f>
        <v>0.29307119633779871</v>
      </c>
      <c r="F48" s="116">
        <f t="shared" ref="F48:L48" si="27">F46/F5</f>
        <v>2.832610461837673E-2</v>
      </c>
      <c r="G48" s="116">
        <f t="shared" si="27"/>
        <v>3.0488656350944183E-2</v>
      </c>
      <c r="H48" s="116">
        <f t="shared" si="27"/>
        <v>2.5934160871707058E-2</v>
      </c>
      <c r="I48" s="116">
        <f t="shared" si="27"/>
        <v>2.5226418374568006E-2</v>
      </c>
      <c r="J48" s="116">
        <f t="shared" si="27"/>
        <v>4.6302671315457941E-2</v>
      </c>
      <c r="K48" s="116">
        <f t="shared" si="27"/>
        <v>4.4285264522724119E-2</v>
      </c>
      <c r="L48" s="116">
        <f t="shared" si="27"/>
        <v>4.1992016724171272E-2</v>
      </c>
      <c r="M48" s="116">
        <f t="shared" ref="M48:S48" si="28">M46/M5</f>
        <v>3.1049739334498554E-2</v>
      </c>
      <c r="N48" s="116">
        <f t="shared" si="28"/>
        <v>2.9236634120994823E-2</v>
      </c>
      <c r="O48" s="116">
        <f t="shared" si="28"/>
        <v>2.7469571095624996E-2</v>
      </c>
      <c r="P48" s="116">
        <f t="shared" si="28"/>
        <v>2.5747601637014415E-2</v>
      </c>
      <c r="Q48" s="116">
        <f t="shared" si="28"/>
        <v>2.4069794806060009E-2</v>
      </c>
      <c r="R48" s="116">
        <f t="shared" si="28"/>
        <v>2.2435236559609068E-2</v>
      </c>
      <c r="S48" s="116">
        <f t="shared" si="28"/>
        <v>2.115447749184143E-2</v>
      </c>
    </row>
    <row r="49" spans="1:19" ht="21" customHeight="1">
      <c r="A49" s="9" t="s">
        <v>45</v>
      </c>
      <c r="B49" s="124" t="s">
        <v>46</v>
      </c>
      <c r="C49" s="124"/>
      <c r="D49" s="124"/>
      <c r="E49" s="99" t="str">
        <f>IF(E48&lt;=E47,"TAK","NIE")</f>
        <v>NIE</v>
      </c>
      <c r="F49" s="99" t="str">
        <f t="shared" ref="F49:L49" si="29">IF(F48&lt;=F47,"TAK","NIE")</f>
        <v>TAK</v>
      </c>
      <c r="G49" s="99" t="str">
        <f t="shared" si="29"/>
        <v>TAK</v>
      </c>
      <c r="H49" s="99" t="str">
        <f t="shared" si="29"/>
        <v>TAK</v>
      </c>
      <c r="I49" s="99" t="str">
        <f t="shared" si="29"/>
        <v>TAK</v>
      </c>
      <c r="J49" s="99" t="str">
        <f t="shared" si="29"/>
        <v>TAK</v>
      </c>
      <c r="K49" s="99" t="str">
        <f t="shared" si="29"/>
        <v>TAK</v>
      </c>
      <c r="L49" s="99" t="str">
        <f t="shared" si="29"/>
        <v>TAK</v>
      </c>
      <c r="M49" s="99" t="str">
        <f t="shared" ref="M49:S49" si="30">IF(M48&lt;=M47,"TAK","NIE")</f>
        <v>TAK</v>
      </c>
      <c r="N49" s="99" t="str">
        <f t="shared" si="30"/>
        <v>TAK</v>
      </c>
      <c r="O49" s="99" t="str">
        <f t="shared" si="30"/>
        <v>TAK</v>
      </c>
      <c r="P49" s="99" t="str">
        <f t="shared" si="30"/>
        <v>TAK</v>
      </c>
      <c r="Q49" s="99" t="str">
        <f t="shared" si="30"/>
        <v>TAK</v>
      </c>
      <c r="R49" s="99" t="str">
        <f t="shared" si="30"/>
        <v>TAK</v>
      </c>
      <c r="S49" s="99" t="str">
        <f t="shared" si="30"/>
        <v>TAK</v>
      </c>
    </row>
    <row r="50" spans="1:19" ht="66.75" customHeight="1">
      <c r="A50" s="9" t="s">
        <v>47</v>
      </c>
      <c r="B50" s="124" t="s">
        <v>48</v>
      </c>
      <c r="C50" s="124"/>
      <c r="D50" s="124"/>
      <c r="E50" s="113">
        <f>(E22+E36)/E5</f>
        <v>0.29307119633779871</v>
      </c>
      <c r="F50" s="113">
        <f t="shared" ref="F50:L50" si="31">(F22+F36)/F5</f>
        <v>2.832610461837673E-2</v>
      </c>
      <c r="G50" s="113">
        <f t="shared" si="31"/>
        <v>3.0488656350944183E-2</v>
      </c>
      <c r="H50" s="113">
        <f t="shared" si="31"/>
        <v>2.5934160871707058E-2</v>
      </c>
      <c r="I50" s="113">
        <f t="shared" si="31"/>
        <v>2.5226418374568006E-2</v>
      </c>
      <c r="J50" s="113">
        <f t="shared" si="31"/>
        <v>4.6302671315457941E-2</v>
      </c>
      <c r="K50" s="113">
        <f t="shared" si="31"/>
        <v>4.4285264522724119E-2</v>
      </c>
      <c r="L50" s="113">
        <f t="shared" si="31"/>
        <v>4.1992016724171272E-2</v>
      </c>
      <c r="M50" s="113">
        <f t="shared" ref="M50:S50" si="32">(M22+M36)/M5</f>
        <v>3.1049739334498554E-2</v>
      </c>
      <c r="N50" s="113">
        <f t="shared" si="32"/>
        <v>2.9236634120994823E-2</v>
      </c>
      <c r="O50" s="113">
        <f t="shared" si="32"/>
        <v>2.7469571095624996E-2</v>
      </c>
      <c r="P50" s="113">
        <f t="shared" si="32"/>
        <v>2.5747601637014415E-2</v>
      </c>
      <c r="Q50" s="113">
        <f t="shared" si="32"/>
        <v>2.4069794806060009E-2</v>
      </c>
      <c r="R50" s="113">
        <f t="shared" si="32"/>
        <v>2.2435236559609068E-2</v>
      </c>
      <c r="S50" s="113">
        <f t="shared" si="32"/>
        <v>2.115447749184143E-2</v>
      </c>
    </row>
    <row r="51" spans="1:19" ht="76.5" customHeight="1">
      <c r="A51" s="9" t="s">
        <v>49</v>
      </c>
      <c r="B51" s="142" t="s">
        <v>50</v>
      </c>
      <c r="C51" s="143"/>
      <c r="D51" s="144"/>
      <c r="E51" s="100" t="str">
        <f>IF(E48&lt;=E47,"TAK","NIE")</f>
        <v>NIE</v>
      </c>
      <c r="F51" s="100" t="str">
        <f t="shared" ref="F51:L51" si="33">IF(F48&lt;=F47,"TAK","NIE")</f>
        <v>TAK</v>
      </c>
      <c r="G51" s="100" t="str">
        <f t="shared" si="33"/>
        <v>TAK</v>
      </c>
      <c r="H51" s="100" t="str">
        <f t="shared" si="33"/>
        <v>TAK</v>
      </c>
      <c r="I51" s="100" t="str">
        <f t="shared" si="33"/>
        <v>TAK</v>
      </c>
      <c r="J51" s="100" t="str">
        <f t="shared" si="33"/>
        <v>TAK</v>
      </c>
      <c r="K51" s="100" t="str">
        <f t="shared" si="33"/>
        <v>TAK</v>
      </c>
      <c r="L51" s="100" t="str">
        <f t="shared" si="33"/>
        <v>TAK</v>
      </c>
      <c r="M51" s="100" t="str">
        <f t="shared" ref="M51:S51" si="34">IF(M48&lt;=M47,"TAK","NIE")</f>
        <v>TAK</v>
      </c>
      <c r="N51" s="100" t="str">
        <f t="shared" si="34"/>
        <v>TAK</v>
      </c>
      <c r="O51" s="100" t="str">
        <f t="shared" si="34"/>
        <v>TAK</v>
      </c>
      <c r="P51" s="100" t="str">
        <f t="shared" si="34"/>
        <v>TAK</v>
      </c>
      <c r="Q51" s="100" t="str">
        <f t="shared" si="34"/>
        <v>TAK</v>
      </c>
      <c r="R51" s="100" t="str">
        <f t="shared" si="34"/>
        <v>TAK</v>
      </c>
      <c r="S51" s="100" t="str">
        <f t="shared" si="34"/>
        <v>TAK</v>
      </c>
    </row>
    <row r="52" spans="1:19" ht="61.5" customHeight="1">
      <c r="A52" s="42" t="s">
        <v>51</v>
      </c>
      <c r="B52" s="133" t="s">
        <v>101</v>
      </c>
      <c r="C52" s="133"/>
      <c r="D52" s="134"/>
      <c r="E52" s="112">
        <f>(E6-E14+E11)/E5</f>
        <v>6.837110113269089E-2</v>
      </c>
      <c r="F52" s="112">
        <f t="shared" ref="F52:L52" si="35">(F6-F14+F11)/F5</f>
        <v>8.7390990399264609E-2</v>
      </c>
      <c r="G52" s="112">
        <f t="shared" si="35"/>
        <v>5.3973442115597611E-2</v>
      </c>
      <c r="H52" s="112">
        <f t="shared" si="35"/>
        <v>6.328845179178437E-2</v>
      </c>
      <c r="I52" s="112">
        <f t="shared" si="35"/>
        <v>6.8628639993840959E-2</v>
      </c>
      <c r="J52" s="112">
        <f t="shared" si="35"/>
        <v>7.4542934321674942E-2</v>
      </c>
      <c r="K52" s="112">
        <f t="shared" si="35"/>
        <v>7.7503990167659992E-2</v>
      </c>
      <c r="L52" s="112">
        <f t="shared" si="35"/>
        <v>8.3508634042997382E-2</v>
      </c>
      <c r="M52" s="112">
        <f t="shared" ref="M52:S52" si="36">(M6-M14+M11)/M5</f>
        <v>8.1236601129007643E-2</v>
      </c>
      <c r="N52" s="112">
        <f t="shared" si="36"/>
        <v>7.8419213171658717E-2</v>
      </c>
      <c r="O52" s="112">
        <f t="shared" si="36"/>
        <v>7.5538427323914928E-2</v>
      </c>
      <c r="P52" s="112">
        <f t="shared" si="36"/>
        <v>7.2595000910745375E-2</v>
      </c>
      <c r="Q52" s="112">
        <f t="shared" si="36"/>
        <v>6.9589671572359069E-2</v>
      </c>
      <c r="R52" s="112">
        <f t="shared" si="36"/>
        <v>6.6523178303916228E-2</v>
      </c>
      <c r="S52" s="112">
        <f t="shared" si="36"/>
        <v>6.3396220022064936E-2</v>
      </c>
    </row>
    <row r="53" spans="1:19" ht="46.5" customHeight="1">
      <c r="A53" s="8" t="s">
        <v>5</v>
      </c>
      <c r="B53" s="125" t="s">
        <v>52</v>
      </c>
      <c r="C53" s="126"/>
      <c r="D53" s="127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</row>
    <row r="54" spans="1:19" ht="32.25" customHeight="1">
      <c r="A54" s="3"/>
      <c r="B54" s="135" t="s">
        <v>53</v>
      </c>
      <c r="C54" s="136"/>
      <c r="D54" s="137"/>
      <c r="E54" s="85">
        <f>'[1]2'!$F$88</f>
        <v>38928732</v>
      </c>
      <c r="F54" s="85">
        <f>E54*1.003</f>
        <v>39045518.195999995</v>
      </c>
      <c r="G54" s="85">
        <f t="shared" ref="G54:S54" si="37">F54*1.003</f>
        <v>39162654.750587992</v>
      </c>
      <c r="H54" s="85">
        <f t="shared" si="37"/>
        <v>39280142.714839749</v>
      </c>
      <c r="I54" s="85">
        <f t="shared" si="37"/>
        <v>39397983.142984264</v>
      </c>
      <c r="J54" s="85">
        <f t="shared" si="37"/>
        <v>39516177.092413209</v>
      </c>
      <c r="K54" s="85">
        <f t="shared" si="37"/>
        <v>39634725.623690441</v>
      </c>
      <c r="L54" s="85">
        <f t="shared" si="37"/>
        <v>39753629.80056151</v>
      </c>
      <c r="M54" s="85">
        <f t="shared" si="37"/>
        <v>39872890.689963192</v>
      </c>
      <c r="N54" s="85">
        <f t="shared" si="37"/>
        <v>39992509.362033077</v>
      </c>
      <c r="O54" s="85">
        <f t="shared" si="37"/>
        <v>40112486.890119173</v>
      </c>
      <c r="P54" s="85">
        <f t="shared" si="37"/>
        <v>40232824.350789525</v>
      </c>
      <c r="Q54" s="85">
        <f t="shared" si="37"/>
        <v>40353522.823841892</v>
      </c>
      <c r="R54" s="85">
        <f t="shared" si="37"/>
        <v>40474583.392313413</v>
      </c>
      <c r="S54" s="85">
        <f t="shared" si="37"/>
        <v>40596007.14249035</v>
      </c>
    </row>
    <row r="55" spans="1:19" ht="40.5" customHeight="1">
      <c r="A55" s="3"/>
      <c r="B55" s="135" t="s">
        <v>54</v>
      </c>
      <c r="C55" s="136"/>
      <c r="D55" s="137"/>
      <c r="E55" s="85">
        <f>'[1]2'!$E$28</f>
        <v>5141113</v>
      </c>
      <c r="F55" s="85">
        <f>E55*1.003</f>
        <v>5156536.3389999997</v>
      </c>
      <c r="G55" s="85">
        <f t="shared" ref="G55:S55" si="38">F55*1.003</f>
        <v>5172005.9480169993</v>
      </c>
      <c r="H55" s="85">
        <f t="shared" si="38"/>
        <v>5187521.9658610495</v>
      </c>
      <c r="I55" s="85">
        <f t="shared" si="38"/>
        <v>5203084.5317586325</v>
      </c>
      <c r="J55" s="85">
        <f t="shared" si="38"/>
        <v>5218693.7853539074</v>
      </c>
      <c r="K55" s="85">
        <f t="shared" si="38"/>
        <v>5234349.8667099681</v>
      </c>
      <c r="L55" s="85">
        <f t="shared" si="38"/>
        <v>5250052.9163100971</v>
      </c>
      <c r="M55" s="85">
        <f t="shared" si="38"/>
        <v>5265803.0750590265</v>
      </c>
      <c r="N55" s="85">
        <f t="shared" si="38"/>
        <v>5281600.4842842026</v>
      </c>
      <c r="O55" s="85">
        <f t="shared" si="38"/>
        <v>5297445.2857370544</v>
      </c>
      <c r="P55" s="85">
        <f t="shared" si="38"/>
        <v>5313337.6215942651</v>
      </c>
      <c r="Q55" s="85">
        <f t="shared" si="38"/>
        <v>5329277.6344590476</v>
      </c>
      <c r="R55" s="85">
        <f t="shared" si="38"/>
        <v>5345265.4673624244</v>
      </c>
      <c r="S55" s="85">
        <f t="shared" si="38"/>
        <v>5361301.2637645109</v>
      </c>
    </row>
    <row r="56" spans="1:19" ht="21" customHeight="1">
      <c r="A56" s="3"/>
      <c r="B56" s="135" t="s">
        <v>55</v>
      </c>
      <c r="C56" s="136"/>
      <c r="D56" s="137"/>
      <c r="E56" s="85">
        <f>Przedsięwzięcia!G8</f>
        <v>5906133.2599999998</v>
      </c>
      <c r="F56" s="85">
        <f>Przedsięwzięcia!H8</f>
        <v>3223585.34</v>
      </c>
      <c r="G56" s="85">
        <f>Przedsięwzięcia!I8</f>
        <v>1666646</v>
      </c>
      <c r="H56" s="85">
        <f>Przedsięwzięcia!J8</f>
        <v>0</v>
      </c>
      <c r="I56" s="85">
        <f>Przedsięwzięcia!K8</f>
        <v>0</v>
      </c>
      <c r="J56" s="85">
        <f>Przedsięwzięcia!L8</f>
        <v>0</v>
      </c>
      <c r="K56" s="85">
        <f>Przedsięwzięcia!M8</f>
        <v>0</v>
      </c>
      <c r="L56" s="85">
        <f>Przedsięwzięcia!N8</f>
        <v>0</v>
      </c>
      <c r="M56" s="85">
        <f>Przedsięwzięcia!O8</f>
        <v>0</v>
      </c>
      <c r="N56" s="85">
        <f>Przedsięwzięcia!P8</f>
        <v>0</v>
      </c>
      <c r="O56" s="85">
        <f>Przedsięwzięcia!Q8</f>
        <v>0</v>
      </c>
      <c r="P56" s="85">
        <f>Przedsięwzięcia!R8</f>
        <v>0</v>
      </c>
      <c r="Q56" s="85">
        <f>Przedsięwzięcia!S8</f>
        <v>0</v>
      </c>
      <c r="R56" s="85">
        <f>Przedsięwzięcia!T8</f>
        <v>0</v>
      </c>
      <c r="S56" s="85">
        <f>Przedsięwzięcia!U8</f>
        <v>0</v>
      </c>
    </row>
    <row r="57" spans="1:19" ht="37.5" customHeight="1" thickBot="1">
      <c r="A57" s="4"/>
      <c r="B57" s="145" t="s">
        <v>56</v>
      </c>
      <c r="C57" s="146"/>
      <c r="D57" s="147"/>
      <c r="E57" s="86">
        <f>Przedsięwzięcia!G9</f>
        <v>4993590</v>
      </c>
      <c r="F57" s="86">
        <f>Przedsięwzięcia!H9</f>
        <v>2000000</v>
      </c>
      <c r="G57" s="86">
        <f>Przedsięwzięcia!I9</f>
        <v>2780000</v>
      </c>
      <c r="H57" s="86">
        <f>Przedsięwzięcia!J9</f>
        <v>1000000</v>
      </c>
      <c r="I57" s="86">
        <f>Przedsięwzięcia!K9</f>
        <v>1000000</v>
      </c>
      <c r="J57" s="86">
        <f>Przedsięwzięcia!L9</f>
        <v>1000000</v>
      </c>
      <c r="K57" s="86">
        <f>Przedsięwzięcia!M9</f>
        <v>1000000</v>
      </c>
      <c r="L57" s="86">
        <f>Przedsięwzięcia!N9</f>
        <v>1000000</v>
      </c>
      <c r="M57" s="86">
        <f>Przedsięwzięcia!O9</f>
        <v>0</v>
      </c>
      <c r="N57" s="86">
        <f>Przedsięwzięcia!P9</f>
        <v>0</v>
      </c>
      <c r="O57" s="86">
        <f>Przedsięwzięcia!Q9</f>
        <v>0</v>
      </c>
      <c r="P57" s="86">
        <f>Przedsięwzięcia!R9</f>
        <v>0</v>
      </c>
      <c r="Q57" s="86">
        <f>Przedsięwzięcia!S9</f>
        <v>0</v>
      </c>
      <c r="R57" s="86">
        <f>Przedsięwzięcia!T9</f>
        <v>0</v>
      </c>
      <c r="S57" s="86">
        <f>Przedsięwzięcia!U9</f>
        <v>0</v>
      </c>
    </row>
    <row r="58" spans="1:19" ht="63" customHeight="1" thickBot="1">
      <c r="A58" s="10" t="s">
        <v>102</v>
      </c>
      <c r="B58" s="141" t="s">
        <v>57</v>
      </c>
      <c r="C58" s="141"/>
      <c r="D58" s="141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</row>
    <row r="59" spans="1:19" ht="21" customHeight="1">
      <c r="A59" s="11">
        <v>18</v>
      </c>
      <c r="B59" s="117" t="s">
        <v>69</v>
      </c>
      <c r="C59" s="118"/>
      <c r="D59" s="119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</row>
    <row r="60" spans="1:19" ht="21" customHeight="1" thickBot="1">
      <c r="A60" s="12"/>
      <c r="B60" s="120" t="s">
        <v>70</v>
      </c>
      <c r="C60" s="121"/>
      <c r="D60" s="122"/>
      <c r="E60" s="102">
        <v>0</v>
      </c>
      <c r="F60" s="102">
        <v>0</v>
      </c>
      <c r="G60" s="102">
        <v>0</v>
      </c>
      <c r="H60" s="102">
        <v>0</v>
      </c>
      <c r="I60" s="102">
        <v>0</v>
      </c>
      <c r="J60" s="102">
        <v>0</v>
      </c>
      <c r="K60" s="102">
        <v>0</v>
      </c>
      <c r="L60" s="102">
        <v>0</v>
      </c>
      <c r="M60" s="102">
        <v>0</v>
      </c>
      <c r="N60" s="102">
        <v>0</v>
      </c>
      <c r="O60" s="102">
        <v>0</v>
      </c>
      <c r="P60" s="102">
        <v>0</v>
      </c>
      <c r="Q60" s="102">
        <v>0</v>
      </c>
      <c r="R60" s="102">
        <v>0</v>
      </c>
      <c r="S60" s="102">
        <v>0</v>
      </c>
    </row>
    <row r="61" spans="1:19">
      <c r="A61" s="13"/>
      <c r="B61" s="14"/>
      <c r="C61" s="14"/>
      <c r="D61" s="15"/>
      <c r="E61" s="89"/>
      <c r="F61" s="89"/>
      <c r="G61" s="89"/>
      <c r="H61" s="89"/>
      <c r="I61" s="89"/>
      <c r="J61" s="89"/>
      <c r="K61" s="89"/>
      <c r="L61" s="89"/>
      <c r="M61" s="103"/>
      <c r="N61" s="103"/>
      <c r="O61" s="103"/>
      <c r="P61" s="103"/>
      <c r="Q61" s="103"/>
      <c r="R61" s="103"/>
      <c r="S61" s="103"/>
    </row>
    <row r="62" spans="1:19" ht="27.75" customHeight="1">
      <c r="A62" s="177" t="s">
        <v>71</v>
      </c>
      <c r="B62" s="177"/>
      <c r="C62" s="177"/>
      <c r="D62" s="177"/>
      <c r="E62" s="177"/>
      <c r="F62" s="177"/>
      <c r="G62" s="177"/>
      <c r="H62" s="89"/>
      <c r="I62" s="89"/>
      <c r="J62" s="89"/>
      <c r="K62" s="89"/>
      <c r="L62" s="89"/>
    </row>
    <row r="63" spans="1:19">
      <c r="A63" s="90"/>
      <c r="B63" s="91"/>
      <c r="C63" s="91"/>
      <c r="D63" s="92"/>
      <c r="E63" s="89"/>
      <c r="F63" s="89"/>
      <c r="G63" s="89"/>
      <c r="H63" s="89"/>
      <c r="I63" s="89"/>
      <c r="J63" s="89"/>
      <c r="K63" s="89"/>
      <c r="L63" s="89"/>
    </row>
    <row r="64" spans="1:19">
      <c r="A64" s="90"/>
      <c r="B64" s="91"/>
      <c r="C64" s="91"/>
      <c r="D64" s="92"/>
      <c r="E64" s="89"/>
      <c r="F64" s="89"/>
      <c r="G64" s="89"/>
      <c r="H64" s="89"/>
      <c r="I64" s="89"/>
      <c r="J64" s="89"/>
      <c r="K64" s="89"/>
      <c r="L64" s="89"/>
    </row>
  </sheetData>
  <mergeCells count="62">
    <mergeCell ref="B4:D4"/>
    <mergeCell ref="B13:D13"/>
    <mergeCell ref="B28:D28"/>
    <mergeCell ref="A62:G62"/>
    <mergeCell ref="B37:D37"/>
    <mergeCell ref="B38:D38"/>
    <mergeCell ref="B39:D39"/>
    <mergeCell ref="B40:D40"/>
    <mergeCell ref="B54:D54"/>
    <mergeCell ref="B32:D32"/>
    <mergeCell ref="B33:D33"/>
    <mergeCell ref="B34:D34"/>
    <mergeCell ref="B35:D35"/>
    <mergeCell ref="B36:D36"/>
    <mergeCell ref="B25:D25"/>
    <mergeCell ref="B27:D27"/>
    <mergeCell ref="B19:D19"/>
    <mergeCell ref="B29:D29"/>
    <mergeCell ref="B30:D30"/>
    <mergeCell ref="B31:D31"/>
    <mergeCell ref="B20:D20"/>
    <mergeCell ref="B21:D21"/>
    <mergeCell ref="B22:D22"/>
    <mergeCell ref="B23:D23"/>
    <mergeCell ref="B24:D24"/>
    <mergeCell ref="P2:S2"/>
    <mergeCell ref="B41:D41"/>
    <mergeCell ref="B26:D26"/>
    <mergeCell ref="A3:L3"/>
    <mergeCell ref="B5:D5"/>
    <mergeCell ref="B6:D6"/>
    <mergeCell ref="B7:D7"/>
    <mergeCell ref="B8:D8"/>
    <mergeCell ref="B9:D9"/>
    <mergeCell ref="B10:D10"/>
    <mergeCell ref="B11:D11"/>
    <mergeCell ref="B12:D12"/>
    <mergeCell ref="B15:D15"/>
    <mergeCell ref="B16:D16"/>
    <mergeCell ref="B17:D17"/>
    <mergeCell ref="B18:D18"/>
    <mergeCell ref="B51:D51"/>
    <mergeCell ref="B52:D52"/>
    <mergeCell ref="B55:D55"/>
    <mergeCell ref="B56:D56"/>
    <mergeCell ref="B57:D57"/>
    <mergeCell ref="B59:D59"/>
    <mergeCell ref="B60:D60"/>
    <mergeCell ref="A1:D1"/>
    <mergeCell ref="B50:D50"/>
    <mergeCell ref="B53:D53"/>
    <mergeCell ref="B46:D46"/>
    <mergeCell ref="B48:D48"/>
    <mergeCell ref="B49:D49"/>
    <mergeCell ref="B45:D45"/>
    <mergeCell ref="B47:D47"/>
    <mergeCell ref="B43:D43"/>
    <mergeCell ref="B44:D44"/>
    <mergeCell ref="B42:D42"/>
    <mergeCell ref="B14:D14"/>
    <mergeCell ref="A6:A12"/>
    <mergeCell ref="B58:D58"/>
  </mergeCells>
  <pageMargins left="0" right="0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63"/>
  <sheetViews>
    <sheetView showGridLines="0" workbookViewId="0">
      <selection activeCell="G2" sqref="G2"/>
    </sheetView>
  </sheetViews>
  <sheetFormatPr defaultRowHeight="12.75"/>
  <cols>
    <col min="1" max="1" width="3.75" style="16" customWidth="1"/>
    <col min="2" max="2" width="22.875" style="16" customWidth="1"/>
    <col min="3" max="3" width="17.625" style="16" customWidth="1"/>
    <col min="4" max="5" width="4.375" style="16" bestFit="1" customWidth="1"/>
    <col min="6" max="6" width="11.125" style="16" bestFit="1" customWidth="1"/>
    <col min="7" max="7" width="11.375" style="16" customWidth="1"/>
    <col min="8" max="14" width="10.25" style="16" bestFit="1" customWidth="1"/>
    <col min="15" max="15" width="11.5" style="16" bestFit="1" customWidth="1"/>
    <col min="16" max="16384" width="9" style="16"/>
  </cols>
  <sheetData>
    <row r="1" spans="1:15" ht="48.75" customHeight="1">
      <c r="G1" s="203" t="s">
        <v>123</v>
      </c>
      <c r="H1" s="203"/>
      <c r="I1" s="203"/>
      <c r="J1" s="203"/>
      <c r="K1" s="57"/>
      <c r="L1" s="57"/>
      <c r="M1" s="57"/>
      <c r="N1" s="57"/>
    </row>
    <row r="2" spans="1:15" ht="48" customHeight="1">
      <c r="A2" s="204" t="s">
        <v>100</v>
      </c>
      <c r="B2" s="204"/>
      <c r="C2" s="204"/>
      <c r="D2" s="204"/>
      <c r="E2" s="204"/>
      <c r="F2" s="204"/>
    </row>
    <row r="3" spans="1:15" ht="9.75" customHeight="1">
      <c r="A3" s="17"/>
      <c r="B3" s="17"/>
      <c r="C3" s="17"/>
      <c r="D3" s="17"/>
      <c r="E3" s="17"/>
      <c r="F3" s="52"/>
      <c r="G3" s="18"/>
      <c r="H3" s="18"/>
      <c r="I3" s="18"/>
      <c r="J3" s="19" t="s">
        <v>72</v>
      </c>
      <c r="K3" s="19"/>
      <c r="L3" s="19"/>
      <c r="M3" s="19"/>
      <c r="N3" s="19"/>
      <c r="O3" s="20"/>
    </row>
    <row r="4" spans="1:15" s="21" customFormat="1" ht="64.5" customHeight="1">
      <c r="A4" s="205" t="s">
        <v>15</v>
      </c>
      <c r="B4" s="193" t="s">
        <v>73</v>
      </c>
      <c r="C4" s="193" t="s">
        <v>74</v>
      </c>
      <c r="D4" s="207" t="s">
        <v>75</v>
      </c>
      <c r="E4" s="207"/>
      <c r="F4" s="193" t="s">
        <v>76</v>
      </c>
      <c r="G4" s="208"/>
      <c r="H4" s="209"/>
      <c r="I4" s="209"/>
      <c r="J4" s="209"/>
      <c r="K4" s="209"/>
      <c r="L4" s="209"/>
      <c r="M4" s="209"/>
      <c r="N4" s="210"/>
      <c r="O4" s="193" t="s">
        <v>77</v>
      </c>
    </row>
    <row r="5" spans="1:15" s="21" customFormat="1" ht="40.5" customHeight="1">
      <c r="A5" s="206"/>
      <c r="B5" s="194"/>
      <c r="C5" s="194"/>
      <c r="D5" s="22" t="s">
        <v>78</v>
      </c>
      <c r="E5" s="22" t="s">
        <v>79</v>
      </c>
      <c r="F5" s="194"/>
      <c r="G5" s="23" t="s">
        <v>80</v>
      </c>
      <c r="H5" s="23" t="s">
        <v>81</v>
      </c>
      <c r="I5" s="23" t="s">
        <v>82</v>
      </c>
      <c r="J5" s="23" t="s">
        <v>107</v>
      </c>
      <c r="K5" s="58" t="s">
        <v>115</v>
      </c>
      <c r="L5" s="58" t="s">
        <v>116</v>
      </c>
      <c r="M5" s="58" t="s">
        <v>117</v>
      </c>
      <c r="N5" s="58" t="s">
        <v>118</v>
      </c>
      <c r="O5" s="194"/>
    </row>
    <row r="6" spans="1:15" s="25" customFormat="1" ht="13.5" customHeight="1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9</v>
      </c>
      <c r="H6" s="24"/>
      <c r="I6" s="24">
        <v>10</v>
      </c>
      <c r="J6" s="24">
        <v>11</v>
      </c>
      <c r="K6" s="24"/>
      <c r="L6" s="24"/>
      <c r="M6" s="24"/>
      <c r="N6" s="24"/>
      <c r="O6" s="24">
        <v>12</v>
      </c>
    </row>
    <row r="7" spans="1:15">
      <c r="A7" s="195" t="s">
        <v>7</v>
      </c>
      <c r="B7" s="198" t="s">
        <v>114</v>
      </c>
      <c r="C7" s="198"/>
      <c r="D7" s="198"/>
      <c r="E7" s="198"/>
      <c r="F7" s="48">
        <f>F8+F9</f>
        <v>33236710</v>
      </c>
      <c r="G7" s="48">
        <f t="shared" ref="G7:N7" si="0">G8+G9</f>
        <v>10899723.26</v>
      </c>
      <c r="H7" s="48">
        <f t="shared" si="0"/>
        <v>5223585.34</v>
      </c>
      <c r="I7" s="48">
        <f t="shared" si="0"/>
        <v>4446646</v>
      </c>
      <c r="J7" s="48">
        <f t="shared" si="0"/>
        <v>1000000</v>
      </c>
      <c r="K7" s="48">
        <f t="shared" si="0"/>
        <v>1000000</v>
      </c>
      <c r="L7" s="48">
        <f t="shared" si="0"/>
        <v>1000000</v>
      </c>
      <c r="M7" s="48">
        <f t="shared" si="0"/>
        <v>1000000</v>
      </c>
      <c r="N7" s="48">
        <f t="shared" si="0"/>
        <v>1000000</v>
      </c>
      <c r="O7" s="190">
        <f>O10+O49</f>
        <v>21890654.600000001</v>
      </c>
    </row>
    <row r="8" spans="1:15">
      <c r="A8" s="196"/>
      <c r="B8" s="199" t="s">
        <v>83</v>
      </c>
      <c r="C8" s="199"/>
      <c r="D8" s="199"/>
      <c r="E8" s="199"/>
      <c r="F8" s="48">
        <f t="shared" ref="F8:N8" si="1">F11+F50</f>
        <v>20585710</v>
      </c>
      <c r="G8" s="48">
        <f t="shared" si="1"/>
        <v>5906133.2599999998</v>
      </c>
      <c r="H8" s="48">
        <f t="shared" si="1"/>
        <v>3223585.34</v>
      </c>
      <c r="I8" s="48">
        <f t="shared" si="1"/>
        <v>1666646</v>
      </c>
      <c r="J8" s="48">
        <f t="shared" si="1"/>
        <v>0</v>
      </c>
      <c r="K8" s="48">
        <f t="shared" si="1"/>
        <v>0</v>
      </c>
      <c r="L8" s="48">
        <f t="shared" si="1"/>
        <v>0</v>
      </c>
      <c r="M8" s="48">
        <f t="shared" si="1"/>
        <v>0</v>
      </c>
      <c r="N8" s="48">
        <f t="shared" si="1"/>
        <v>0</v>
      </c>
      <c r="O8" s="191"/>
    </row>
    <row r="9" spans="1:15">
      <c r="A9" s="197"/>
      <c r="B9" s="199" t="s">
        <v>84</v>
      </c>
      <c r="C9" s="199"/>
      <c r="D9" s="199"/>
      <c r="E9" s="199"/>
      <c r="F9" s="48">
        <f t="shared" ref="F9:N9" si="2">F12+F51</f>
        <v>12651000</v>
      </c>
      <c r="G9" s="48">
        <f t="shared" si="2"/>
        <v>4993590</v>
      </c>
      <c r="H9" s="48">
        <f t="shared" si="2"/>
        <v>2000000</v>
      </c>
      <c r="I9" s="48">
        <f t="shared" si="2"/>
        <v>2780000</v>
      </c>
      <c r="J9" s="48">
        <f t="shared" si="2"/>
        <v>1000000</v>
      </c>
      <c r="K9" s="48">
        <f t="shared" si="2"/>
        <v>1000000</v>
      </c>
      <c r="L9" s="48">
        <f t="shared" si="2"/>
        <v>1000000</v>
      </c>
      <c r="M9" s="48">
        <f t="shared" si="2"/>
        <v>1000000</v>
      </c>
      <c r="N9" s="48">
        <f t="shared" si="2"/>
        <v>1000000</v>
      </c>
      <c r="O9" s="192"/>
    </row>
    <row r="10" spans="1:15">
      <c r="A10" s="200" t="s">
        <v>8</v>
      </c>
      <c r="B10" s="29" t="s">
        <v>85</v>
      </c>
      <c r="C10" s="30"/>
      <c r="D10" s="30"/>
      <c r="E10" s="31"/>
      <c r="F10" s="48">
        <f>F11+F12</f>
        <v>27030503</v>
      </c>
      <c r="G10" s="48">
        <f t="shared" ref="G10:N10" si="3">G11+G12</f>
        <v>9091600</v>
      </c>
      <c r="H10" s="48">
        <f t="shared" si="3"/>
        <v>3244598</v>
      </c>
      <c r="I10" s="48">
        <f t="shared" si="3"/>
        <v>3322640</v>
      </c>
      <c r="J10" s="48">
        <f t="shared" si="3"/>
        <v>1000000</v>
      </c>
      <c r="K10" s="48">
        <f t="shared" si="3"/>
        <v>1000000</v>
      </c>
      <c r="L10" s="48">
        <f t="shared" si="3"/>
        <v>1000000</v>
      </c>
      <c r="M10" s="48">
        <f t="shared" si="3"/>
        <v>1000000</v>
      </c>
      <c r="N10" s="48">
        <f t="shared" si="3"/>
        <v>1000000</v>
      </c>
      <c r="O10" s="190">
        <f>O13+O37</f>
        <v>16979538</v>
      </c>
    </row>
    <row r="11" spans="1:15">
      <c r="A11" s="201"/>
      <c r="B11" s="32" t="s">
        <v>83</v>
      </c>
      <c r="C11" s="33"/>
      <c r="D11" s="33"/>
      <c r="E11" s="34"/>
      <c r="F11" s="48">
        <f t="shared" ref="F11:N11" si="4">F14+F38</f>
        <v>14379503</v>
      </c>
      <c r="G11" s="48">
        <f t="shared" si="4"/>
        <v>4098010</v>
      </c>
      <c r="H11" s="48">
        <f t="shared" si="4"/>
        <v>1244598</v>
      </c>
      <c r="I11" s="48">
        <f t="shared" si="4"/>
        <v>542640</v>
      </c>
      <c r="J11" s="48">
        <f t="shared" si="4"/>
        <v>0</v>
      </c>
      <c r="K11" s="48">
        <f t="shared" si="4"/>
        <v>0</v>
      </c>
      <c r="L11" s="48">
        <f t="shared" si="4"/>
        <v>0</v>
      </c>
      <c r="M11" s="48">
        <f t="shared" si="4"/>
        <v>0</v>
      </c>
      <c r="N11" s="48">
        <f t="shared" si="4"/>
        <v>0</v>
      </c>
      <c r="O11" s="191"/>
    </row>
    <row r="12" spans="1:15">
      <c r="A12" s="202"/>
      <c r="B12" s="32" t="s">
        <v>84</v>
      </c>
      <c r="C12" s="33"/>
      <c r="D12" s="33"/>
      <c r="E12" s="34"/>
      <c r="F12" s="48">
        <f t="shared" ref="F12:N12" si="5">F15+F39</f>
        <v>12651000</v>
      </c>
      <c r="G12" s="48">
        <f t="shared" si="5"/>
        <v>4993590</v>
      </c>
      <c r="H12" s="48">
        <f t="shared" si="5"/>
        <v>2000000</v>
      </c>
      <c r="I12" s="48">
        <f t="shared" si="5"/>
        <v>2780000</v>
      </c>
      <c r="J12" s="48">
        <f t="shared" si="5"/>
        <v>1000000</v>
      </c>
      <c r="K12" s="48">
        <f t="shared" si="5"/>
        <v>1000000</v>
      </c>
      <c r="L12" s="48">
        <f t="shared" si="5"/>
        <v>1000000</v>
      </c>
      <c r="M12" s="48">
        <f t="shared" si="5"/>
        <v>1000000</v>
      </c>
      <c r="N12" s="48">
        <f t="shared" si="5"/>
        <v>1000000</v>
      </c>
      <c r="O12" s="192"/>
    </row>
    <row r="13" spans="1:15" ht="45.75" customHeight="1">
      <c r="A13" s="211" t="s">
        <v>86</v>
      </c>
      <c r="B13" s="214" t="s">
        <v>87</v>
      </c>
      <c r="C13" s="215"/>
      <c r="D13" s="215"/>
      <c r="E13" s="216"/>
      <c r="F13" s="46">
        <f>F14+F15</f>
        <v>16269503</v>
      </c>
      <c r="G13" s="46">
        <f t="shared" ref="G13:J13" si="6">G14+G15</f>
        <v>5208010</v>
      </c>
      <c r="H13" s="46">
        <f t="shared" si="6"/>
        <v>1244598</v>
      </c>
      <c r="I13" s="46">
        <f t="shared" si="6"/>
        <v>1322640</v>
      </c>
      <c r="J13" s="46">
        <f t="shared" si="6"/>
        <v>0</v>
      </c>
      <c r="K13" s="60"/>
      <c r="L13" s="60"/>
      <c r="M13" s="60"/>
      <c r="N13" s="60"/>
      <c r="O13" s="217">
        <f>O16+O19+O22+O25+O28+O31</f>
        <v>4095948</v>
      </c>
    </row>
    <row r="14" spans="1:15">
      <c r="A14" s="212"/>
      <c r="B14" s="220" t="s">
        <v>83</v>
      </c>
      <c r="C14" s="221"/>
      <c r="D14" s="221"/>
      <c r="E14" s="222"/>
      <c r="F14" s="51">
        <f>F17+F20+F23+F26+F29+F32+F35</f>
        <v>14379503</v>
      </c>
      <c r="G14" s="51">
        <f t="shared" ref="G14:N14" si="7">G17+G20+G23+G26+G29+G32+G35</f>
        <v>4098010</v>
      </c>
      <c r="H14" s="51">
        <f t="shared" si="7"/>
        <v>1244598</v>
      </c>
      <c r="I14" s="51">
        <f t="shared" si="7"/>
        <v>542640</v>
      </c>
      <c r="J14" s="51">
        <f t="shared" si="7"/>
        <v>0</v>
      </c>
      <c r="K14" s="51">
        <f t="shared" si="7"/>
        <v>0</v>
      </c>
      <c r="L14" s="51">
        <f t="shared" si="7"/>
        <v>0</v>
      </c>
      <c r="M14" s="51">
        <f t="shared" si="7"/>
        <v>0</v>
      </c>
      <c r="N14" s="51">
        <f t="shared" si="7"/>
        <v>0</v>
      </c>
      <c r="O14" s="218"/>
    </row>
    <row r="15" spans="1:15">
      <c r="A15" s="213"/>
      <c r="B15" s="220" t="s">
        <v>84</v>
      </c>
      <c r="C15" s="221"/>
      <c r="D15" s="221"/>
      <c r="E15" s="222"/>
      <c r="F15" s="51">
        <f>F18+F21+F24+F27+F30+F33+F36</f>
        <v>1890000</v>
      </c>
      <c r="G15" s="51">
        <f t="shared" ref="G15:N15" si="8">G18+G21+G24+G27+G30+G33+G36</f>
        <v>1110000</v>
      </c>
      <c r="H15" s="51">
        <f t="shared" si="8"/>
        <v>0</v>
      </c>
      <c r="I15" s="51">
        <f t="shared" si="8"/>
        <v>780000</v>
      </c>
      <c r="J15" s="51">
        <f t="shared" si="8"/>
        <v>0</v>
      </c>
      <c r="K15" s="51">
        <f t="shared" si="8"/>
        <v>0</v>
      </c>
      <c r="L15" s="51">
        <f t="shared" si="8"/>
        <v>0</v>
      </c>
      <c r="M15" s="51">
        <f t="shared" si="8"/>
        <v>0</v>
      </c>
      <c r="N15" s="51">
        <f t="shared" si="8"/>
        <v>0</v>
      </c>
      <c r="O15" s="219"/>
    </row>
    <row r="16" spans="1:15" ht="63.75">
      <c r="A16" s="200"/>
      <c r="B16" s="35" t="s">
        <v>90</v>
      </c>
      <c r="C16" s="226" t="s">
        <v>89</v>
      </c>
      <c r="D16" s="200">
        <v>2008</v>
      </c>
      <c r="E16" s="200">
        <v>2013</v>
      </c>
      <c r="F16" s="40">
        <v>8763027</v>
      </c>
      <c r="G16" s="36">
        <f t="shared" ref="G16:J16" si="9">G17+G18</f>
        <v>1636105</v>
      </c>
      <c r="H16" s="36">
        <f t="shared" si="9"/>
        <v>0</v>
      </c>
      <c r="I16" s="36">
        <f t="shared" si="9"/>
        <v>0</v>
      </c>
      <c r="J16" s="36">
        <f t="shared" si="9"/>
        <v>0</v>
      </c>
      <c r="K16" s="36">
        <f t="shared" ref="K16:N16" si="10">K17+K18</f>
        <v>0</v>
      </c>
      <c r="L16" s="36">
        <f t="shared" si="10"/>
        <v>0</v>
      </c>
      <c r="M16" s="36">
        <f t="shared" si="10"/>
        <v>0</v>
      </c>
      <c r="N16" s="36">
        <f t="shared" si="10"/>
        <v>0</v>
      </c>
      <c r="O16" s="223">
        <f>G16</f>
        <v>1636105</v>
      </c>
    </row>
    <row r="17" spans="1:15">
      <c r="A17" s="201"/>
      <c r="B17" s="32" t="s">
        <v>83</v>
      </c>
      <c r="C17" s="227"/>
      <c r="D17" s="201"/>
      <c r="E17" s="201"/>
      <c r="F17" s="39">
        <v>8763027</v>
      </c>
      <c r="G17" s="37">
        <v>1636105</v>
      </c>
      <c r="H17" s="37"/>
      <c r="I17" s="37"/>
      <c r="J17" s="37"/>
      <c r="K17" s="37"/>
      <c r="L17" s="37"/>
      <c r="M17" s="37"/>
      <c r="N17" s="37"/>
      <c r="O17" s="224"/>
    </row>
    <row r="18" spans="1:15">
      <c r="A18" s="202"/>
      <c r="B18" s="32" t="s">
        <v>84</v>
      </c>
      <c r="C18" s="228"/>
      <c r="D18" s="229"/>
      <c r="E18" s="229"/>
      <c r="F18" s="41">
        <v>0</v>
      </c>
      <c r="G18" s="38">
        <v>0</v>
      </c>
      <c r="H18" s="38"/>
      <c r="I18" s="38"/>
      <c r="J18" s="38"/>
      <c r="K18" s="38"/>
      <c r="L18" s="38"/>
      <c r="M18" s="38"/>
      <c r="N18" s="38"/>
      <c r="O18" s="225"/>
    </row>
    <row r="19" spans="1:15" ht="25.5">
      <c r="A19" s="200"/>
      <c r="B19" s="35" t="s">
        <v>91</v>
      </c>
      <c r="C19" s="226" t="s">
        <v>92</v>
      </c>
      <c r="D19" s="200">
        <v>2008</v>
      </c>
      <c r="E19" s="200">
        <v>2013</v>
      </c>
      <c r="F19" s="40">
        <f>F20+F21</f>
        <v>437190</v>
      </c>
      <c r="G19" s="36">
        <f>G20+G21</f>
        <v>28130</v>
      </c>
      <c r="H19" s="36">
        <f t="shared" ref="H19:J19" si="11">H20+H21</f>
        <v>0</v>
      </c>
      <c r="I19" s="36">
        <f t="shared" si="11"/>
        <v>0</v>
      </c>
      <c r="J19" s="36">
        <f t="shared" si="11"/>
        <v>0</v>
      </c>
      <c r="K19" s="36">
        <f t="shared" ref="K19:N19" si="12">K20+K21</f>
        <v>0</v>
      </c>
      <c r="L19" s="36">
        <f t="shared" si="12"/>
        <v>0</v>
      </c>
      <c r="M19" s="36">
        <f t="shared" si="12"/>
        <v>0</v>
      </c>
      <c r="N19" s="36">
        <f t="shared" si="12"/>
        <v>0</v>
      </c>
      <c r="O19" s="223">
        <f>G19</f>
        <v>28130</v>
      </c>
    </row>
    <row r="20" spans="1:15">
      <c r="A20" s="201"/>
      <c r="B20" s="32" t="s">
        <v>83</v>
      </c>
      <c r="C20" s="227"/>
      <c r="D20" s="201"/>
      <c r="E20" s="201"/>
      <c r="F20" s="39">
        <v>437190</v>
      </c>
      <c r="G20" s="37">
        <v>28130</v>
      </c>
      <c r="H20" s="37"/>
      <c r="I20" s="37"/>
      <c r="J20" s="37"/>
      <c r="K20" s="37"/>
      <c r="L20" s="37"/>
      <c r="M20" s="37"/>
      <c r="N20" s="37"/>
      <c r="O20" s="224"/>
    </row>
    <row r="21" spans="1:15">
      <c r="A21" s="202"/>
      <c r="B21" s="32" t="s">
        <v>84</v>
      </c>
      <c r="C21" s="228"/>
      <c r="D21" s="229"/>
      <c r="E21" s="229"/>
      <c r="F21" s="41">
        <v>0</v>
      </c>
      <c r="G21" s="38">
        <v>0</v>
      </c>
      <c r="H21" s="38"/>
      <c r="I21" s="38"/>
      <c r="J21" s="38"/>
      <c r="K21" s="38"/>
      <c r="L21" s="38"/>
      <c r="M21" s="38"/>
      <c r="N21" s="38"/>
      <c r="O21" s="225"/>
    </row>
    <row r="22" spans="1:15" ht="38.25">
      <c r="A22" s="200"/>
      <c r="B22" s="35" t="s">
        <v>94</v>
      </c>
      <c r="C22" s="226" t="s">
        <v>95</v>
      </c>
      <c r="D22" s="200">
        <v>2012</v>
      </c>
      <c r="E22" s="200">
        <v>2013</v>
      </c>
      <c r="F22" s="40">
        <f>F23+F24</f>
        <v>209098</v>
      </c>
      <c r="G22" s="36">
        <f t="shared" ref="G22:J22" si="13">G23+G24</f>
        <v>102265</v>
      </c>
      <c r="H22" s="36">
        <f t="shared" si="13"/>
        <v>0</v>
      </c>
      <c r="I22" s="36">
        <f t="shared" si="13"/>
        <v>0</v>
      </c>
      <c r="J22" s="36">
        <f t="shared" si="13"/>
        <v>0</v>
      </c>
      <c r="K22" s="36">
        <f t="shared" ref="K22:N22" si="14">K23+K24</f>
        <v>0</v>
      </c>
      <c r="L22" s="36">
        <f t="shared" si="14"/>
        <v>0</v>
      </c>
      <c r="M22" s="36">
        <f t="shared" si="14"/>
        <v>0</v>
      </c>
      <c r="N22" s="36">
        <f t="shared" si="14"/>
        <v>0</v>
      </c>
      <c r="O22" s="223">
        <f>G22</f>
        <v>102265</v>
      </c>
    </row>
    <row r="23" spans="1:15">
      <c r="A23" s="201"/>
      <c r="B23" s="32" t="s">
        <v>83</v>
      </c>
      <c r="C23" s="227"/>
      <c r="D23" s="201"/>
      <c r="E23" s="201"/>
      <c r="F23" s="39">
        <v>209098</v>
      </c>
      <c r="G23" s="37">
        <v>102265</v>
      </c>
      <c r="H23" s="37"/>
      <c r="I23" s="37"/>
      <c r="J23" s="37"/>
      <c r="K23" s="37"/>
      <c r="L23" s="37"/>
      <c r="M23" s="37"/>
      <c r="N23" s="37"/>
      <c r="O23" s="224"/>
    </row>
    <row r="24" spans="1:15">
      <c r="A24" s="202"/>
      <c r="B24" s="32" t="s">
        <v>84</v>
      </c>
      <c r="C24" s="228"/>
      <c r="D24" s="229"/>
      <c r="E24" s="229"/>
      <c r="F24" s="41">
        <v>0</v>
      </c>
      <c r="G24" s="38">
        <v>0</v>
      </c>
      <c r="H24" s="38"/>
      <c r="I24" s="38"/>
      <c r="J24" s="38"/>
      <c r="K24" s="38"/>
      <c r="L24" s="38"/>
      <c r="M24" s="38"/>
      <c r="N24" s="38"/>
      <c r="O24" s="225"/>
    </row>
    <row r="25" spans="1:15" ht="38.25">
      <c r="A25" s="200"/>
      <c r="B25" s="35" t="s">
        <v>96</v>
      </c>
      <c r="C25" s="226" t="s">
        <v>95</v>
      </c>
      <c r="D25" s="200">
        <v>2012</v>
      </c>
      <c r="E25" s="200">
        <v>2013</v>
      </c>
      <c r="F25" s="40">
        <f>F26+F27</f>
        <v>204836</v>
      </c>
      <c r="G25" s="36">
        <f>G26</f>
        <v>99750</v>
      </c>
      <c r="H25" s="36">
        <f t="shared" ref="H25" si="15">H26+H27</f>
        <v>105086</v>
      </c>
      <c r="I25" s="36">
        <f t="shared" ref="I25" si="16">I26+I27</f>
        <v>0</v>
      </c>
      <c r="J25" s="36">
        <f t="shared" ref="J25" si="17">J26+J27</f>
        <v>0</v>
      </c>
      <c r="K25" s="36">
        <f t="shared" ref="K25:N25" si="18">K26+K27</f>
        <v>0</v>
      </c>
      <c r="L25" s="36">
        <f t="shared" si="18"/>
        <v>0</v>
      </c>
      <c r="M25" s="36">
        <f t="shared" si="18"/>
        <v>0</v>
      </c>
      <c r="N25" s="36">
        <f t="shared" si="18"/>
        <v>0</v>
      </c>
      <c r="O25" s="223">
        <f>H25+G25</f>
        <v>204836</v>
      </c>
    </row>
    <row r="26" spans="1:15">
      <c r="A26" s="201"/>
      <c r="B26" s="32" t="s">
        <v>83</v>
      </c>
      <c r="C26" s="227"/>
      <c r="D26" s="201"/>
      <c r="E26" s="201"/>
      <c r="F26" s="39">
        <f>G26+H26</f>
        <v>204836</v>
      </c>
      <c r="G26" s="37">
        <v>99750</v>
      </c>
      <c r="H26" s="37">
        <v>105086</v>
      </c>
      <c r="I26" s="37"/>
      <c r="J26" s="37"/>
      <c r="K26" s="37"/>
      <c r="L26" s="37"/>
      <c r="M26" s="37"/>
      <c r="N26" s="37"/>
      <c r="O26" s="224"/>
    </row>
    <row r="27" spans="1:15">
      <c r="A27" s="202"/>
      <c r="B27" s="32" t="s">
        <v>84</v>
      </c>
      <c r="C27" s="228"/>
      <c r="D27" s="229"/>
      <c r="E27" s="229"/>
      <c r="F27" s="41">
        <v>0</v>
      </c>
      <c r="G27" s="38">
        <v>0</v>
      </c>
      <c r="H27" s="38">
        <v>0</v>
      </c>
      <c r="I27" s="38"/>
      <c r="J27" s="38"/>
      <c r="K27" s="38"/>
      <c r="L27" s="38"/>
      <c r="M27" s="38"/>
      <c r="N27" s="38"/>
      <c r="O27" s="225"/>
    </row>
    <row r="28" spans="1:15" ht="25.5">
      <c r="A28" s="200"/>
      <c r="B28" s="35" t="s">
        <v>97</v>
      </c>
      <c r="C28" s="235" t="s">
        <v>98</v>
      </c>
      <c r="D28" s="200">
        <v>2012</v>
      </c>
      <c r="E28" s="200">
        <v>2015</v>
      </c>
      <c r="F28" s="40">
        <v>1544480</v>
      </c>
      <c r="G28" s="36">
        <f>220000+136000+45000+185260</f>
        <v>586260</v>
      </c>
      <c r="H28" s="36">
        <f>H29+H30</f>
        <v>351940</v>
      </c>
      <c r="I28" s="36">
        <f>I29+I30</f>
        <v>156640</v>
      </c>
      <c r="J28" s="36"/>
      <c r="K28" s="36"/>
      <c r="L28" s="36"/>
      <c r="M28" s="36"/>
      <c r="N28" s="36"/>
      <c r="O28" s="223">
        <f>I28+H28+G28</f>
        <v>1094840</v>
      </c>
    </row>
    <row r="29" spans="1:15">
      <c r="A29" s="201"/>
      <c r="B29" s="32" t="s">
        <v>83</v>
      </c>
      <c r="C29" s="236"/>
      <c r="D29" s="201"/>
      <c r="E29" s="201"/>
      <c r="F29" s="39">
        <v>1544480</v>
      </c>
      <c r="G29" s="37">
        <f>G28</f>
        <v>586260</v>
      </c>
      <c r="H29" s="37">
        <f>126000+52340+26000+147600</f>
        <v>351940</v>
      </c>
      <c r="I29" s="37">
        <f>102600+54040</f>
        <v>156640</v>
      </c>
      <c r="J29" s="37"/>
      <c r="K29" s="37"/>
      <c r="L29" s="37"/>
      <c r="M29" s="37"/>
      <c r="N29" s="37"/>
      <c r="O29" s="224"/>
    </row>
    <row r="30" spans="1:15">
      <c r="A30" s="202"/>
      <c r="B30" s="32" t="s">
        <v>84</v>
      </c>
      <c r="C30" s="237"/>
      <c r="D30" s="229"/>
      <c r="E30" s="229"/>
      <c r="F30" s="41">
        <v>0</v>
      </c>
      <c r="G30" s="38">
        <v>0</v>
      </c>
      <c r="H30" s="38">
        <v>0</v>
      </c>
      <c r="I30" s="38">
        <v>0</v>
      </c>
      <c r="J30" s="38"/>
      <c r="K30" s="38"/>
      <c r="L30" s="38"/>
      <c r="M30" s="38"/>
      <c r="N30" s="38"/>
      <c r="O30" s="225"/>
    </row>
    <row r="31" spans="1:15" ht="51">
      <c r="A31" s="200"/>
      <c r="B31" s="35" t="s">
        <v>93</v>
      </c>
      <c r="C31" s="226" t="s">
        <v>92</v>
      </c>
      <c r="D31" s="200">
        <v>2012</v>
      </c>
      <c r="E31" s="200">
        <v>2014</v>
      </c>
      <c r="F31" s="40">
        <f>F32</f>
        <v>1431572</v>
      </c>
      <c r="G31" s="36">
        <f>G32+G33</f>
        <v>974200</v>
      </c>
      <c r="H31" s="36">
        <f>H32+H33</f>
        <v>55572</v>
      </c>
      <c r="I31" s="36">
        <f>I32+I33</f>
        <v>0</v>
      </c>
      <c r="J31" s="36">
        <f t="shared" ref="J31" si="19">J32+J33</f>
        <v>0</v>
      </c>
      <c r="K31" s="36">
        <f t="shared" ref="K31:N31" si="20">K32+K33</f>
        <v>0</v>
      </c>
      <c r="L31" s="36">
        <f t="shared" si="20"/>
        <v>0</v>
      </c>
      <c r="M31" s="36">
        <f t="shared" si="20"/>
        <v>0</v>
      </c>
      <c r="N31" s="36">
        <f t="shared" si="20"/>
        <v>0</v>
      </c>
      <c r="O31" s="223">
        <f>H32+G32</f>
        <v>1029772</v>
      </c>
    </row>
    <row r="32" spans="1:15">
      <c r="A32" s="201"/>
      <c r="B32" s="32" t="s">
        <v>83</v>
      </c>
      <c r="C32" s="227"/>
      <c r="D32" s="201"/>
      <c r="E32" s="201"/>
      <c r="F32" s="37">
        <v>1431572</v>
      </c>
      <c r="G32" s="37">
        <v>974200</v>
      </c>
      <c r="H32" s="37">
        <f>10792+44780</f>
        <v>55572</v>
      </c>
      <c r="I32" s="37">
        <v>0</v>
      </c>
      <c r="J32" s="37"/>
      <c r="K32" s="37"/>
      <c r="L32" s="37"/>
      <c r="M32" s="37"/>
      <c r="N32" s="37"/>
      <c r="O32" s="224"/>
    </row>
    <row r="33" spans="1:15">
      <c r="A33" s="202"/>
      <c r="B33" s="32" t="s">
        <v>84</v>
      </c>
      <c r="C33" s="228"/>
      <c r="D33" s="229"/>
      <c r="E33" s="229"/>
      <c r="F33" s="38">
        <f>G33+H33+I33</f>
        <v>0</v>
      </c>
      <c r="G33" s="38">
        <v>0</v>
      </c>
      <c r="H33" s="38">
        <v>0</v>
      </c>
      <c r="I33" s="38">
        <v>0</v>
      </c>
      <c r="J33" s="38"/>
      <c r="K33" s="38"/>
      <c r="L33" s="38"/>
      <c r="M33" s="38"/>
      <c r="N33" s="38"/>
      <c r="O33" s="225"/>
    </row>
    <row r="34" spans="1:15" ht="63.75" customHeight="1">
      <c r="A34" s="200"/>
      <c r="B34" s="35" t="s">
        <v>119</v>
      </c>
      <c r="C34" s="235" t="s">
        <v>98</v>
      </c>
      <c r="D34" s="200">
        <v>2013</v>
      </c>
      <c r="E34" s="200">
        <v>2015</v>
      </c>
      <c r="F34" s="40">
        <f>F35+F36</f>
        <v>3679300</v>
      </c>
      <c r="G34" s="36">
        <v>1781300</v>
      </c>
      <c r="H34" s="36">
        <v>732000</v>
      </c>
      <c r="I34" s="36">
        <v>1166000</v>
      </c>
      <c r="J34" s="36"/>
      <c r="K34" s="36"/>
      <c r="L34" s="36"/>
      <c r="M34" s="36"/>
      <c r="N34" s="36"/>
      <c r="O34" s="223">
        <f>G34+H34+I34</f>
        <v>3679300</v>
      </c>
    </row>
    <row r="35" spans="1:15">
      <c r="A35" s="201"/>
      <c r="B35" s="32" t="s">
        <v>83</v>
      </c>
      <c r="C35" s="236"/>
      <c r="D35" s="201"/>
      <c r="E35" s="201"/>
      <c r="F35" s="37">
        <f>G35+H35+I35</f>
        <v>1789300</v>
      </c>
      <c r="G35" s="37">
        <f>G34-G36</f>
        <v>671300</v>
      </c>
      <c r="H35" s="37">
        <f t="shared" ref="H35:I35" si="21">H34-H36</f>
        <v>732000</v>
      </c>
      <c r="I35" s="37">
        <f t="shared" si="21"/>
        <v>386000</v>
      </c>
      <c r="J35" s="37"/>
      <c r="K35" s="37"/>
      <c r="L35" s="37"/>
      <c r="M35" s="37"/>
      <c r="N35" s="37"/>
      <c r="O35" s="224"/>
    </row>
    <row r="36" spans="1:15" ht="12" customHeight="1">
      <c r="A36" s="202"/>
      <c r="B36" s="32" t="s">
        <v>84</v>
      </c>
      <c r="C36" s="237"/>
      <c r="D36" s="229"/>
      <c r="E36" s="229"/>
      <c r="F36" s="38">
        <f>G36+H36+I36</f>
        <v>1890000</v>
      </c>
      <c r="G36" s="38">
        <v>1110000</v>
      </c>
      <c r="H36" s="38">
        <v>0</v>
      </c>
      <c r="I36" s="38">
        <v>780000</v>
      </c>
      <c r="J36" s="38"/>
      <c r="K36" s="38"/>
      <c r="L36" s="38"/>
      <c r="M36" s="38"/>
      <c r="N36" s="38"/>
      <c r="O36" s="225"/>
    </row>
    <row r="37" spans="1:15" ht="41.25" customHeight="1">
      <c r="A37" s="211" t="s">
        <v>113</v>
      </c>
      <c r="B37" s="214" t="s">
        <v>99</v>
      </c>
      <c r="C37" s="215"/>
      <c r="D37" s="215"/>
      <c r="E37" s="216"/>
      <c r="F37" s="45">
        <f>F38+F39</f>
        <v>10761000</v>
      </c>
      <c r="G37" s="45">
        <f t="shared" ref="G37:N37" si="22">G38+G39</f>
        <v>3883590</v>
      </c>
      <c r="H37" s="45">
        <f t="shared" si="22"/>
        <v>2000000</v>
      </c>
      <c r="I37" s="45">
        <f t="shared" si="22"/>
        <v>2000000</v>
      </c>
      <c r="J37" s="45">
        <f t="shared" si="22"/>
        <v>1000000</v>
      </c>
      <c r="K37" s="61">
        <f t="shared" si="22"/>
        <v>1000000</v>
      </c>
      <c r="L37" s="61">
        <f t="shared" si="22"/>
        <v>1000000</v>
      </c>
      <c r="M37" s="61">
        <f t="shared" si="22"/>
        <v>1000000</v>
      </c>
      <c r="N37" s="61">
        <f t="shared" si="22"/>
        <v>1000000</v>
      </c>
      <c r="O37" s="244">
        <f>O40+O43+O46</f>
        <v>12883590</v>
      </c>
    </row>
    <row r="38" spans="1:15" ht="41.25" customHeight="1">
      <c r="A38" s="212"/>
      <c r="B38" s="220" t="s">
        <v>83</v>
      </c>
      <c r="C38" s="221"/>
      <c r="D38" s="221"/>
      <c r="E38" s="222"/>
      <c r="F38" s="47">
        <f>F41+F44+F47</f>
        <v>0</v>
      </c>
      <c r="G38" s="47">
        <f t="shared" ref="G38:N38" si="23">G41+G44+G47</f>
        <v>0</v>
      </c>
      <c r="H38" s="47">
        <f t="shared" si="23"/>
        <v>0</v>
      </c>
      <c r="I38" s="47">
        <f t="shared" si="23"/>
        <v>0</v>
      </c>
      <c r="J38" s="47">
        <f t="shared" si="23"/>
        <v>0</v>
      </c>
      <c r="K38" s="47">
        <f t="shared" si="23"/>
        <v>0</v>
      </c>
      <c r="L38" s="47">
        <f t="shared" si="23"/>
        <v>0</v>
      </c>
      <c r="M38" s="47">
        <f t="shared" si="23"/>
        <v>0</v>
      </c>
      <c r="N38" s="47">
        <f t="shared" si="23"/>
        <v>0</v>
      </c>
      <c r="O38" s="245"/>
    </row>
    <row r="39" spans="1:15">
      <c r="A39" s="213"/>
      <c r="B39" s="220" t="s">
        <v>84</v>
      </c>
      <c r="C39" s="221"/>
      <c r="D39" s="221"/>
      <c r="E39" s="222"/>
      <c r="F39" s="47">
        <f>F42+F45+F48</f>
        <v>10761000</v>
      </c>
      <c r="G39" s="47">
        <f t="shared" ref="G39:N39" si="24">G42+G45+G48</f>
        <v>3883590</v>
      </c>
      <c r="H39" s="47">
        <f t="shared" si="24"/>
        <v>2000000</v>
      </c>
      <c r="I39" s="47">
        <f t="shared" si="24"/>
        <v>2000000</v>
      </c>
      <c r="J39" s="47">
        <f t="shared" si="24"/>
        <v>1000000</v>
      </c>
      <c r="K39" s="47">
        <f t="shared" si="24"/>
        <v>1000000</v>
      </c>
      <c r="L39" s="47">
        <f t="shared" si="24"/>
        <v>1000000</v>
      </c>
      <c r="M39" s="47">
        <f t="shared" si="24"/>
        <v>1000000</v>
      </c>
      <c r="N39" s="47">
        <f t="shared" si="24"/>
        <v>1000000</v>
      </c>
      <c r="O39" s="245"/>
    </row>
    <row r="40" spans="1:15" ht="27" customHeight="1">
      <c r="A40" s="200"/>
      <c r="B40" s="35" t="s">
        <v>103</v>
      </c>
      <c r="C40" s="226" t="s">
        <v>104</v>
      </c>
      <c r="D40" s="200">
        <v>2012</v>
      </c>
      <c r="E40" s="200">
        <v>2013</v>
      </c>
      <c r="F40" s="48">
        <f>F42</f>
        <v>1843000</v>
      </c>
      <c r="G40" s="48">
        <f>G41+G42</f>
        <v>800000</v>
      </c>
      <c r="H40" s="49"/>
      <c r="I40" s="49"/>
      <c r="J40" s="49"/>
      <c r="K40" s="56"/>
      <c r="L40" s="56"/>
      <c r="M40" s="56"/>
      <c r="N40" s="56"/>
      <c r="O40" s="233">
        <f>G42</f>
        <v>800000</v>
      </c>
    </row>
    <row r="41" spans="1:15">
      <c r="A41" s="201"/>
      <c r="B41" s="32" t="s">
        <v>83</v>
      </c>
      <c r="C41" s="227"/>
      <c r="D41" s="201"/>
      <c r="E41" s="201"/>
      <c r="F41" s="50">
        <v>0</v>
      </c>
      <c r="G41" s="50">
        <v>0</v>
      </c>
      <c r="H41" s="49"/>
      <c r="I41" s="49"/>
      <c r="J41" s="49"/>
      <c r="K41" s="56"/>
      <c r="L41" s="56"/>
      <c r="M41" s="56"/>
      <c r="N41" s="56"/>
      <c r="O41" s="234"/>
    </row>
    <row r="42" spans="1:15">
      <c r="A42" s="202"/>
      <c r="B42" s="32" t="s">
        <v>84</v>
      </c>
      <c r="C42" s="228"/>
      <c r="D42" s="229"/>
      <c r="E42" s="229"/>
      <c r="F42" s="50">
        <f>1043000+800000</f>
        <v>1843000</v>
      </c>
      <c r="G42" s="50">
        <v>800000</v>
      </c>
      <c r="H42" s="49"/>
      <c r="I42" s="49"/>
      <c r="J42" s="49"/>
      <c r="K42" s="56"/>
      <c r="L42" s="56"/>
      <c r="M42" s="56"/>
      <c r="N42" s="56"/>
      <c r="O42" s="234"/>
    </row>
    <row r="43" spans="1:15" ht="51">
      <c r="A43" s="200"/>
      <c r="B43" s="35" t="s">
        <v>105</v>
      </c>
      <c r="C43" s="235" t="s">
        <v>98</v>
      </c>
      <c r="D43" s="200">
        <v>2011</v>
      </c>
      <c r="E43" s="200">
        <v>2013</v>
      </c>
      <c r="F43" s="48">
        <f>F44+F45</f>
        <v>718000</v>
      </c>
      <c r="G43" s="48">
        <f>G44+G45</f>
        <v>346000</v>
      </c>
      <c r="H43" s="49"/>
      <c r="I43" s="49"/>
      <c r="J43" s="49"/>
      <c r="K43" s="56"/>
      <c r="L43" s="56"/>
      <c r="M43" s="56"/>
      <c r="N43" s="56"/>
      <c r="O43" s="233">
        <f>G45</f>
        <v>346000</v>
      </c>
    </row>
    <row r="44" spans="1:15">
      <c r="A44" s="201"/>
      <c r="B44" s="32" t="s">
        <v>83</v>
      </c>
      <c r="C44" s="236"/>
      <c r="D44" s="201"/>
      <c r="E44" s="201"/>
      <c r="F44" s="50">
        <v>0</v>
      </c>
      <c r="G44" s="50">
        <v>0</v>
      </c>
      <c r="H44" s="49"/>
      <c r="I44" s="49"/>
      <c r="J44" s="49"/>
      <c r="K44" s="56"/>
      <c r="L44" s="56"/>
      <c r="M44" s="56"/>
      <c r="N44" s="56"/>
      <c r="O44" s="234"/>
    </row>
    <row r="45" spans="1:15">
      <c r="A45" s="202"/>
      <c r="B45" s="32" t="s">
        <v>84</v>
      </c>
      <c r="C45" s="237"/>
      <c r="D45" s="229"/>
      <c r="E45" s="229"/>
      <c r="F45" s="50">
        <f>372000+G45</f>
        <v>718000</v>
      </c>
      <c r="G45" s="50">
        <v>346000</v>
      </c>
      <c r="H45" s="49"/>
      <c r="I45" s="49"/>
      <c r="J45" s="49"/>
      <c r="K45" s="56"/>
      <c r="L45" s="56"/>
      <c r="M45" s="56"/>
      <c r="N45" s="56"/>
      <c r="O45" s="234"/>
    </row>
    <row r="46" spans="1:15" ht="25.5">
      <c r="A46" s="200"/>
      <c r="B46" s="35" t="s">
        <v>106</v>
      </c>
      <c r="C46" s="235" t="s">
        <v>98</v>
      </c>
      <c r="D46" s="200">
        <v>2010</v>
      </c>
      <c r="E46" s="200">
        <v>2020</v>
      </c>
      <c r="F46" s="48">
        <f>F47+F48</f>
        <v>8200000</v>
      </c>
      <c r="G46" s="48">
        <f>G47+G48</f>
        <v>2737590</v>
      </c>
      <c r="H46" s="48">
        <f t="shared" ref="H46:N46" si="25">H47+H48</f>
        <v>2000000</v>
      </c>
      <c r="I46" s="48">
        <f t="shared" si="25"/>
        <v>2000000</v>
      </c>
      <c r="J46" s="48">
        <f t="shared" si="25"/>
        <v>1000000</v>
      </c>
      <c r="K46" s="48">
        <f t="shared" si="25"/>
        <v>1000000</v>
      </c>
      <c r="L46" s="48">
        <f t="shared" si="25"/>
        <v>1000000</v>
      </c>
      <c r="M46" s="48">
        <f t="shared" si="25"/>
        <v>1000000</v>
      </c>
      <c r="N46" s="48">
        <f t="shared" si="25"/>
        <v>1000000</v>
      </c>
      <c r="O46" s="233">
        <f>SUM(G46:N46)</f>
        <v>11737590</v>
      </c>
    </row>
    <row r="47" spans="1:15">
      <c r="A47" s="201"/>
      <c r="B47" s="32" t="s">
        <v>83</v>
      </c>
      <c r="C47" s="236"/>
      <c r="D47" s="201"/>
      <c r="E47" s="201"/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9">
        <v>0</v>
      </c>
      <c r="L47" s="59">
        <v>0</v>
      </c>
      <c r="M47" s="59">
        <v>0</v>
      </c>
      <c r="N47" s="59">
        <v>0</v>
      </c>
      <c r="O47" s="234"/>
    </row>
    <row r="48" spans="1:15">
      <c r="A48" s="202"/>
      <c r="B48" s="32" t="s">
        <v>84</v>
      </c>
      <c r="C48" s="237"/>
      <c r="D48" s="229"/>
      <c r="E48" s="229"/>
      <c r="F48" s="50">
        <v>8200000</v>
      </c>
      <c r="G48" s="50">
        <f>250000+2487590</f>
        <v>2737590</v>
      </c>
      <c r="H48" s="50">
        <v>2000000</v>
      </c>
      <c r="I48" s="50">
        <v>2000000</v>
      </c>
      <c r="J48" s="50">
        <v>1000000</v>
      </c>
      <c r="K48" s="59">
        <v>1000000</v>
      </c>
      <c r="L48" s="59">
        <v>1000000</v>
      </c>
      <c r="M48" s="59">
        <v>1000000</v>
      </c>
      <c r="N48" s="59">
        <v>1000000</v>
      </c>
      <c r="O48" s="234"/>
    </row>
    <row r="49" spans="1:15" s="64" customFormat="1" ht="71.25" customHeight="1">
      <c r="A49" s="238" t="s">
        <v>9</v>
      </c>
      <c r="B49" s="241" t="s">
        <v>88</v>
      </c>
      <c r="C49" s="242"/>
      <c r="D49" s="242"/>
      <c r="E49" s="243"/>
      <c r="F49" s="62">
        <f>F50+F51</f>
        <v>6206207</v>
      </c>
      <c r="G49" s="62">
        <f t="shared" ref="G49:I49" si="26">G50+G51</f>
        <v>1808123.26</v>
      </c>
      <c r="H49" s="62">
        <f t="shared" si="26"/>
        <v>1978987.34</v>
      </c>
      <c r="I49" s="62">
        <f t="shared" si="26"/>
        <v>1124006</v>
      </c>
      <c r="J49" s="63"/>
      <c r="K49" s="63"/>
      <c r="L49" s="63"/>
      <c r="M49" s="63"/>
      <c r="N49" s="63"/>
      <c r="O49" s="230">
        <f>O52+O55+O58+O61</f>
        <v>4911116.5999999996</v>
      </c>
    </row>
    <row r="50" spans="1:15" s="64" customFormat="1">
      <c r="A50" s="239"/>
      <c r="B50" s="65" t="s">
        <v>83</v>
      </c>
      <c r="C50" s="66"/>
      <c r="D50" s="66"/>
      <c r="E50" s="67"/>
      <c r="F50" s="68">
        <f>F53+F56+F59+F62</f>
        <v>6206207</v>
      </c>
      <c r="G50" s="68">
        <f t="shared" ref="G50:I50" si="27">G53+G56+G59+G62</f>
        <v>1808123.26</v>
      </c>
      <c r="H50" s="68">
        <f t="shared" si="27"/>
        <v>1978987.34</v>
      </c>
      <c r="I50" s="68">
        <f t="shared" si="27"/>
        <v>1124006</v>
      </c>
      <c r="J50" s="69"/>
      <c r="K50" s="69"/>
      <c r="L50" s="69"/>
      <c r="M50" s="69"/>
      <c r="N50" s="69"/>
      <c r="O50" s="231"/>
    </row>
    <row r="51" spans="1:15" s="64" customFormat="1">
      <c r="A51" s="240"/>
      <c r="B51" s="65" t="s">
        <v>84</v>
      </c>
      <c r="C51" s="66"/>
      <c r="D51" s="66"/>
      <c r="E51" s="67"/>
      <c r="F51" s="68">
        <f>F54+F57+F60+F63</f>
        <v>0</v>
      </c>
      <c r="G51" s="68">
        <f t="shared" ref="G51:I51" si="28">G54+G57+G60+G63</f>
        <v>0</v>
      </c>
      <c r="H51" s="68">
        <f t="shared" si="28"/>
        <v>0</v>
      </c>
      <c r="I51" s="68">
        <f t="shared" si="28"/>
        <v>0</v>
      </c>
      <c r="J51" s="69"/>
      <c r="K51" s="69"/>
      <c r="L51" s="69"/>
      <c r="M51" s="69"/>
      <c r="N51" s="69"/>
      <c r="O51" s="232"/>
    </row>
    <row r="52" spans="1:15" ht="25.5">
      <c r="A52" s="200"/>
      <c r="B52" s="35" t="s">
        <v>108</v>
      </c>
      <c r="C52" s="235" t="s">
        <v>98</v>
      </c>
      <c r="D52" s="200">
        <v>2012</v>
      </c>
      <c r="E52" s="200">
        <v>2014</v>
      </c>
      <c r="F52" s="40">
        <f>F53+F54</f>
        <v>2509826</v>
      </c>
      <c r="G52" s="40">
        <f>G53+G54</f>
        <v>832906</v>
      </c>
      <c r="H52" s="40">
        <f>H53+H54</f>
        <v>936557</v>
      </c>
      <c r="I52" s="26"/>
      <c r="J52" s="26"/>
      <c r="K52" s="26"/>
      <c r="L52" s="26"/>
      <c r="M52" s="26"/>
      <c r="N52" s="26"/>
      <c r="O52" s="233">
        <f>H53+G53</f>
        <v>1769463</v>
      </c>
    </row>
    <row r="53" spans="1:15">
      <c r="A53" s="201"/>
      <c r="B53" s="32" t="s">
        <v>83</v>
      </c>
      <c r="C53" s="236"/>
      <c r="D53" s="201"/>
      <c r="E53" s="201"/>
      <c r="F53" s="37">
        <v>2509826</v>
      </c>
      <c r="G53" s="37">
        <v>832906</v>
      </c>
      <c r="H53" s="37">
        <v>936557</v>
      </c>
      <c r="I53" s="27"/>
      <c r="J53" s="27"/>
      <c r="K53" s="55"/>
      <c r="L53" s="55"/>
      <c r="M53" s="55"/>
      <c r="N53" s="55"/>
      <c r="O53" s="234"/>
    </row>
    <row r="54" spans="1:15">
      <c r="A54" s="202"/>
      <c r="B54" s="32" t="s">
        <v>84</v>
      </c>
      <c r="C54" s="237"/>
      <c r="D54" s="229"/>
      <c r="E54" s="229"/>
      <c r="F54" s="38">
        <v>0</v>
      </c>
      <c r="G54" s="38">
        <v>0</v>
      </c>
      <c r="H54" s="38">
        <v>0</v>
      </c>
      <c r="I54" s="28"/>
      <c r="J54" s="28"/>
      <c r="K54" s="28"/>
      <c r="L54" s="28"/>
      <c r="M54" s="28"/>
      <c r="N54" s="28"/>
      <c r="O54" s="234"/>
    </row>
    <row r="55" spans="1:15">
      <c r="A55" s="200"/>
      <c r="B55" s="29" t="s">
        <v>111</v>
      </c>
      <c r="C55" s="235" t="s">
        <v>98</v>
      </c>
      <c r="D55" s="200"/>
      <c r="E55" s="200"/>
      <c r="F55" s="40">
        <f>F56+F57</f>
        <v>3285239</v>
      </c>
      <c r="G55" s="40">
        <f>G56+G57</f>
        <v>864158</v>
      </c>
      <c r="H55" s="40">
        <f t="shared" ref="H55" si="29">H56+H57</f>
        <v>950600</v>
      </c>
      <c r="I55" s="40">
        <f t="shared" ref="I55" si="30">I56+I57</f>
        <v>1045631</v>
      </c>
      <c r="J55" s="26"/>
      <c r="K55" s="26"/>
      <c r="L55" s="26"/>
      <c r="M55" s="26"/>
      <c r="N55" s="26"/>
      <c r="O55" s="233">
        <f>I56+H56+G56</f>
        <v>2860389</v>
      </c>
    </row>
    <row r="56" spans="1:15">
      <c r="A56" s="201"/>
      <c r="B56" s="32" t="s">
        <v>83</v>
      </c>
      <c r="C56" s="236"/>
      <c r="D56" s="201"/>
      <c r="E56" s="201"/>
      <c r="F56" s="37">
        <v>3285239</v>
      </c>
      <c r="G56" s="37">
        <v>864158</v>
      </c>
      <c r="H56" s="37">
        <v>950600</v>
      </c>
      <c r="I56" s="37">
        <v>1045631</v>
      </c>
      <c r="J56" s="27"/>
      <c r="K56" s="55"/>
      <c r="L56" s="55"/>
      <c r="M56" s="55"/>
      <c r="N56" s="55"/>
      <c r="O56" s="234"/>
    </row>
    <row r="57" spans="1:15">
      <c r="A57" s="202"/>
      <c r="B57" s="32" t="s">
        <v>84</v>
      </c>
      <c r="C57" s="237"/>
      <c r="D57" s="229"/>
      <c r="E57" s="229"/>
      <c r="F57" s="38">
        <v>0</v>
      </c>
      <c r="G57" s="38">
        <v>0</v>
      </c>
      <c r="H57" s="38">
        <v>0</v>
      </c>
      <c r="I57" s="38">
        <v>0</v>
      </c>
      <c r="J57" s="28"/>
      <c r="K57" s="28"/>
      <c r="L57" s="28"/>
      <c r="M57" s="28"/>
      <c r="N57" s="28"/>
      <c r="O57" s="234"/>
    </row>
    <row r="58" spans="1:15" ht="25.5">
      <c r="A58" s="43"/>
      <c r="B58" s="35" t="s">
        <v>109</v>
      </c>
      <c r="C58" s="235" t="s">
        <v>110</v>
      </c>
      <c r="D58" s="43">
        <v>2012</v>
      </c>
      <c r="E58" s="43">
        <v>2014</v>
      </c>
      <c r="F58" s="40">
        <f>F59+F60</f>
        <v>97642</v>
      </c>
      <c r="G58" s="40">
        <f>G59+G60</f>
        <v>32684.26</v>
      </c>
      <c r="H58" s="40">
        <f>H59+H60</f>
        <v>13455.34</v>
      </c>
      <c r="I58" s="44"/>
      <c r="J58" s="44"/>
      <c r="K58" s="55"/>
      <c r="L58" s="55"/>
      <c r="M58" s="55"/>
      <c r="N58" s="55"/>
      <c r="O58" s="233">
        <f>H59+G59</f>
        <v>46139.6</v>
      </c>
    </row>
    <row r="59" spans="1:15">
      <c r="A59" s="43"/>
      <c r="B59" s="32" t="s">
        <v>83</v>
      </c>
      <c r="C59" s="236"/>
      <c r="D59" s="43"/>
      <c r="E59" s="43"/>
      <c r="F59" s="37">
        <v>97642</v>
      </c>
      <c r="G59" s="37">
        <v>32684.26</v>
      </c>
      <c r="H59" s="37">
        <v>13455.34</v>
      </c>
      <c r="I59" s="44"/>
      <c r="J59" s="44"/>
      <c r="K59" s="55"/>
      <c r="L59" s="55"/>
      <c r="M59" s="55"/>
      <c r="N59" s="55"/>
      <c r="O59" s="234"/>
    </row>
    <row r="60" spans="1:15">
      <c r="A60" s="43"/>
      <c r="B60" s="32" t="s">
        <v>84</v>
      </c>
      <c r="C60" s="237"/>
      <c r="D60" s="43"/>
      <c r="E60" s="43"/>
      <c r="F60" s="38">
        <v>0</v>
      </c>
      <c r="G60" s="38">
        <v>0</v>
      </c>
      <c r="H60" s="38">
        <v>0</v>
      </c>
      <c r="I60" s="44"/>
      <c r="J60" s="44"/>
      <c r="K60" s="55"/>
      <c r="L60" s="55"/>
      <c r="M60" s="55"/>
      <c r="N60" s="55"/>
      <c r="O60" s="234"/>
    </row>
    <row r="61" spans="1:15" ht="38.25">
      <c r="A61" s="200"/>
      <c r="B61" s="35" t="s">
        <v>112</v>
      </c>
      <c r="C61" s="235" t="s">
        <v>98</v>
      </c>
      <c r="D61" s="200">
        <v>2012</v>
      </c>
      <c r="E61" s="200">
        <v>2015</v>
      </c>
      <c r="F61" s="40">
        <f>F62+F63</f>
        <v>313500</v>
      </c>
      <c r="G61" s="40">
        <f>G62+G63</f>
        <v>78375</v>
      </c>
      <c r="H61" s="40">
        <f t="shared" ref="H61" si="31">H62+H63</f>
        <v>78375</v>
      </c>
      <c r="I61" s="40">
        <f t="shared" ref="I61" si="32">I62+I63</f>
        <v>78375</v>
      </c>
      <c r="J61" s="26"/>
      <c r="K61" s="26"/>
      <c r="L61" s="26"/>
      <c r="M61" s="26"/>
      <c r="N61" s="26"/>
      <c r="O61" s="233">
        <f>I62+H62+G62</f>
        <v>235125</v>
      </c>
    </row>
    <row r="62" spans="1:15">
      <c r="A62" s="201"/>
      <c r="B62" s="32" t="s">
        <v>83</v>
      </c>
      <c r="C62" s="236"/>
      <c r="D62" s="201"/>
      <c r="E62" s="201"/>
      <c r="F62" s="37">
        <v>313500</v>
      </c>
      <c r="G62" s="37">
        <v>78375</v>
      </c>
      <c r="H62" s="37">
        <v>78375</v>
      </c>
      <c r="I62" s="37">
        <v>78375</v>
      </c>
      <c r="J62" s="27"/>
      <c r="K62" s="55"/>
      <c r="L62" s="55"/>
      <c r="M62" s="55"/>
      <c r="N62" s="55"/>
      <c r="O62" s="234"/>
    </row>
    <row r="63" spans="1:15">
      <c r="A63" s="202"/>
      <c r="B63" s="32" t="s">
        <v>84</v>
      </c>
      <c r="C63" s="237"/>
      <c r="D63" s="229"/>
      <c r="E63" s="229"/>
      <c r="F63" s="38">
        <v>0</v>
      </c>
      <c r="G63" s="38">
        <v>0</v>
      </c>
      <c r="H63" s="38">
        <v>0</v>
      </c>
      <c r="I63" s="38">
        <v>0</v>
      </c>
      <c r="J63" s="28"/>
      <c r="K63" s="28"/>
      <c r="L63" s="28"/>
      <c r="M63" s="28"/>
      <c r="N63" s="28"/>
      <c r="O63" s="234"/>
    </row>
  </sheetData>
  <mergeCells count="96">
    <mergeCell ref="E16:E18"/>
    <mergeCell ref="O37:O39"/>
    <mergeCell ref="B38:E38"/>
    <mergeCell ref="B39:E39"/>
    <mergeCell ref="C28:C30"/>
    <mergeCell ref="D28:D30"/>
    <mergeCell ref="E28:E30"/>
    <mergeCell ref="O28:O30"/>
    <mergeCell ref="D25:D27"/>
    <mergeCell ref="O22:O24"/>
    <mergeCell ref="A31:A33"/>
    <mergeCell ref="C31:C33"/>
    <mergeCell ref="O34:O36"/>
    <mergeCell ref="O31:O33"/>
    <mergeCell ref="A34:A36"/>
    <mergeCell ref="C34:C36"/>
    <mergeCell ref="D34:D36"/>
    <mergeCell ref="E34:E36"/>
    <mergeCell ref="E61:E63"/>
    <mergeCell ref="E25:E27"/>
    <mergeCell ref="A22:A24"/>
    <mergeCell ref="C22:C24"/>
    <mergeCell ref="D22:D24"/>
    <mergeCell ref="E22:E24"/>
    <mergeCell ref="E46:E48"/>
    <mergeCell ref="A37:A39"/>
    <mergeCell ref="B37:E37"/>
    <mergeCell ref="D46:D48"/>
    <mergeCell ref="C25:C27"/>
    <mergeCell ref="A49:A51"/>
    <mergeCell ref="B49:E49"/>
    <mergeCell ref="D31:D33"/>
    <mergeCell ref="E31:E33"/>
    <mergeCell ref="A28:A30"/>
    <mergeCell ref="O61:O63"/>
    <mergeCell ref="A52:A54"/>
    <mergeCell ref="C52:C54"/>
    <mergeCell ref="D52:D54"/>
    <mergeCell ref="E52:E54"/>
    <mergeCell ref="O52:O54"/>
    <mergeCell ref="A55:A57"/>
    <mergeCell ref="C55:C57"/>
    <mergeCell ref="D55:D57"/>
    <mergeCell ref="E55:E57"/>
    <mergeCell ref="O55:O57"/>
    <mergeCell ref="C58:C60"/>
    <mergeCell ref="A61:A63"/>
    <mergeCell ref="C61:C63"/>
    <mergeCell ref="D61:D63"/>
    <mergeCell ref="O58:O60"/>
    <mergeCell ref="O49:O51"/>
    <mergeCell ref="A40:A42"/>
    <mergeCell ref="C40:C42"/>
    <mergeCell ref="D40:D42"/>
    <mergeCell ref="E40:E42"/>
    <mergeCell ref="O40:O42"/>
    <mergeCell ref="A43:A45"/>
    <mergeCell ref="C43:C45"/>
    <mergeCell ref="D43:D45"/>
    <mergeCell ref="E43:E45"/>
    <mergeCell ref="O43:O45"/>
    <mergeCell ref="A46:A48"/>
    <mergeCell ref="C46:C48"/>
    <mergeCell ref="O46:O48"/>
    <mergeCell ref="A25:A27"/>
    <mergeCell ref="A13:A15"/>
    <mergeCell ref="B13:E13"/>
    <mergeCell ref="O13:O15"/>
    <mergeCell ref="B14:E14"/>
    <mergeCell ref="B15:E15"/>
    <mergeCell ref="O16:O18"/>
    <mergeCell ref="A19:A21"/>
    <mergeCell ref="C19:C21"/>
    <mergeCell ref="D19:D21"/>
    <mergeCell ref="E19:E21"/>
    <mergeCell ref="O19:O21"/>
    <mergeCell ref="O25:O27"/>
    <mergeCell ref="A16:A18"/>
    <mergeCell ref="C16:C18"/>
    <mergeCell ref="D16:D18"/>
    <mergeCell ref="G1:J1"/>
    <mergeCell ref="A2:F2"/>
    <mergeCell ref="A4:A5"/>
    <mergeCell ref="B4:B5"/>
    <mergeCell ref="C4:C5"/>
    <mergeCell ref="D4:E4"/>
    <mergeCell ref="F4:F5"/>
    <mergeCell ref="G4:N4"/>
    <mergeCell ref="O10:O12"/>
    <mergeCell ref="O4:O5"/>
    <mergeCell ref="A7:A9"/>
    <mergeCell ref="B7:E7"/>
    <mergeCell ref="O7:O9"/>
    <mergeCell ref="B8:E8"/>
    <mergeCell ref="B9:E9"/>
    <mergeCell ref="A10:A12"/>
  </mergeCells>
  <printOptions horizontalCentered="1"/>
  <pageMargins left="0.39370078740157483" right="0.23622047244094491" top="0.55118110236220474" bottom="0.59055118110236227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zał 1</vt:lpstr>
      <vt:lpstr>Przedsięwzięcia</vt:lpstr>
      <vt:lpstr>Przedsięwzięcia!Obszar_wydruku</vt:lpstr>
      <vt:lpstr>'zał 1'!Obszar_wydruku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Mkus</dc:creator>
  <cp:lastModifiedBy> </cp:lastModifiedBy>
  <cp:lastPrinted>2013-02-11T08:46:47Z</cp:lastPrinted>
  <dcterms:created xsi:type="dcterms:W3CDTF">2010-10-07T05:45:12Z</dcterms:created>
  <dcterms:modified xsi:type="dcterms:W3CDTF">2013-02-22T10:25:08Z</dcterms:modified>
</cp:coreProperties>
</file>